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65" yWindow="-15" windowWidth="14610" windowHeight="12405" tabRatio="708"/>
  </bookViews>
  <sheets>
    <sheet name="26류수출" sheetId="4" r:id="rId1"/>
    <sheet name="26류수입" sheetId="3" r:id="rId2"/>
    <sheet name="28류수출(희토류)" sheetId="6" r:id="rId3"/>
    <sheet name="28류수입(희토류)" sheetId="5" r:id="rId4"/>
    <sheet name="81류 수출" sheetId="2" r:id="rId5"/>
    <sheet name="81류 수입" sheetId="1" r:id="rId6"/>
  </sheets>
  <definedNames>
    <definedName name="_xlnm.Print_Titles" localSheetId="3">'28류수입(희토류)'!$1:$5</definedName>
    <definedName name="_xlnm.Print_Titles" localSheetId="2">'28류수출(희토류)'!$1:$5</definedName>
    <definedName name="_xlnm.Print_Titles" localSheetId="5">'81류 수입'!$1:$5</definedName>
    <definedName name="_xlnm.Print_Titles" localSheetId="4">'81류 수출'!$1:$5</definedName>
  </definedNames>
  <calcPr calcId="125725"/>
</workbook>
</file>

<file path=xl/calcChain.xml><?xml version="1.0" encoding="utf-8"?>
<calcChain xmlns="http://schemas.openxmlformats.org/spreadsheetml/2006/main">
  <c r="BZ70" i="1"/>
  <c r="BZ67"/>
  <c r="BZ64"/>
  <c r="BZ58"/>
  <c r="BZ55"/>
  <c r="BZ52"/>
  <c r="BZ49"/>
  <c r="BZ70" i="2"/>
  <c r="BZ64"/>
  <c r="BY70" i="1"/>
  <c r="BY69"/>
  <c r="BY67"/>
  <c r="BY66"/>
  <c r="BY64"/>
  <c r="BY63"/>
  <c r="BY61"/>
  <c r="BY60"/>
  <c r="BY58"/>
  <c r="BY57"/>
  <c r="BY55"/>
  <c r="BY54"/>
  <c r="BY52"/>
  <c r="BY51"/>
  <c r="BY49"/>
  <c r="BY48"/>
  <c r="BY70" i="2"/>
  <c r="BY64"/>
  <c r="CA64" s="1"/>
  <c r="BY61"/>
  <c r="BY55"/>
  <c r="BY49"/>
  <c r="BZ76"/>
  <c r="BZ75"/>
  <c r="BY75"/>
  <c r="BZ74"/>
  <c r="BY74"/>
  <c r="CA73"/>
  <c r="BW73"/>
  <c r="BV73"/>
  <c r="CA72"/>
  <c r="BW72"/>
  <c r="BV72"/>
  <c r="BZ71"/>
  <c r="CA70"/>
  <c r="BY71"/>
  <c r="BW70"/>
  <c r="BV70"/>
  <c r="CA69"/>
  <c r="BW69"/>
  <c r="BV69"/>
  <c r="BZ68"/>
  <c r="BY68"/>
  <c r="CA67"/>
  <c r="BW67"/>
  <c r="BW68" s="1"/>
  <c r="BV67"/>
  <c r="BV68" s="1"/>
  <c r="CA66"/>
  <c r="BW66"/>
  <c r="BX66" s="1"/>
  <c r="BV66"/>
  <c r="BZ65"/>
  <c r="BY65"/>
  <c r="BW64"/>
  <c r="BW65" s="1"/>
  <c r="BV64"/>
  <c r="CA63"/>
  <c r="BW63"/>
  <c r="BV63"/>
  <c r="BX63" s="1"/>
  <c r="BZ62"/>
  <c r="BY62"/>
  <c r="BW61"/>
  <c r="CA60"/>
  <c r="BW60"/>
  <c r="BV60"/>
  <c r="BZ59"/>
  <c r="BY59"/>
  <c r="CA58"/>
  <c r="BW58"/>
  <c r="BW59" s="1"/>
  <c r="BV58"/>
  <c r="BV59" s="1"/>
  <c r="CA57"/>
  <c r="BW57"/>
  <c r="BX57" s="1"/>
  <c r="BV57"/>
  <c r="BZ56"/>
  <c r="CA55"/>
  <c r="BY56"/>
  <c r="BW55"/>
  <c r="BV55"/>
  <c r="CA54"/>
  <c r="BW54"/>
  <c r="BV54"/>
  <c r="BX54" s="1"/>
  <c r="BZ53"/>
  <c r="BY53"/>
  <c r="CA52"/>
  <c r="BW52"/>
  <c r="BX52" s="1"/>
  <c r="BV52"/>
  <c r="BV53" s="1"/>
  <c r="CA51"/>
  <c r="BW51"/>
  <c r="BX51" s="1"/>
  <c r="BV51"/>
  <c r="BZ50"/>
  <c r="CA49"/>
  <c r="BW49"/>
  <c r="CA48"/>
  <c r="BW48"/>
  <c r="BV48"/>
  <c r="BZ47"/>
  <c r="BY47"/>
  <c r="CA46"/>
  <c r="BW46"/>
  <c r="BW47" s="1"/>
  <c r="BV46"/>
  <c r="BV47" s="1"/>
  <c r="CA45"/>
  <c r="BW45"/>
  <c r="BX45" s="1"/>
  <c r="BV45"/>
  <c r="BZ44"/>
  <c r="BY44"/>
  <c r="CA43"/>
  <c r="BW43"/>
  <c r="BV43"/>
  <c r="CA42"/>
  <c r="BW42"/>
  <c r="BV42"/>
  <c r="BZ41"/>
  <c r="BY41"/>
  <c r="CA40"/>
  <c r="BW40"/>
  <c r="BV40"/>
  <c r="BV41" s="1"/>
  <c r="CA39"/>
  <c r="BW39"/>
  <c r="BX39" s="1"/>
  <c r="BV39"/>
  <c r="BZ38"/>
  <c r="BY38"/>
  <c r="CA37"/>
  <c r="BW37"/>
  <c r="BV37"/>
  <c r="CA36"/>
  <c r="BW36"/>
  <c r="BV36"/>
  <c r="BZ35"/>
  <c r="BY35"/>
  <c r="CA34"/>
  <c r="BW34"/>
  <c r="BV34"/>
  <c r="CA33"/>
  <c r="BW33"/>
  <c r="BV33"/>
  <c r="BZ32"/>
  <c r="BY32"/>
  <c r="CA31"/>
  <c r="BW31"/>
  <c r="BV31"/>
  <c r="CA30"/>
  <c r="BW30"/>
  <c r="BV30"/>
  <c r="BZ29"/>
  <c r="BY29"/>
  <c r="CA28"/>
  <c r="BW28"/>
  <c r="BV28"/>
  <c r="CA27"/>
  <c r="BW27"/>
  <c r="BX27" s="1"/>
  <c r="BV27"/>
  <c r="BZ26"/>
  <c r="BY26"/>
  <c r="CA25"/>
  <c r="BW25"/>
  <c r="BW26" s="1"/>
  <c r="BV25"/>
  <c r="CA24"/>
  <c r="BW24"/>
  <c r="BX24" s="1"/>
  <c r="BV24"/>
  <c r="BZ23"/>
  <c r="BY23"/>
  <c r="CA22"/>
  <c r="BW22"/>
  <c r="BV22"/>
  <c r="CA21"/>
  <c r="BW21"/>
  <c r="BV21"/>
  <c r="BZ20"/>
  <c r="BY20"/>
  <c r="CA19"/>
  <c r="BW19"/>
  <c r="BW20" s="1"/>
  <c r="BV19"/>
  <c r="CA18"/>
  <c r="BW18"/>
  <c r="BX18" s="1"/>
  <c r="BV18"/>
  <c r="BZ17"/>
  <c r="BY17"/>
  <c r="CA16"/>
  <c r="BW16"/>
  <c r="BV16"/>
  <c r="CA15"/>
  <c r="BW15"/>
  <c r="BV15"/>
  <c r="BZ14"/>
  <c r="BY14"/>
  <c r="CA13"/>
  <c r="BW13"/>
  <c r="BV13"/>
  <c r="CA12"/>
  <c r="BW12"/>
  <c r="BV12"/>
  <c r="BZ11"/>
  <c r="BY11"/>
  <c r="CA10"/>
  <c r="BW10"/>
  <c r="BV10"/>
  <c r="CA9"/>
  <c r="BW9"/>
  <c r="BX9" s="1"/>
  <c r="BV9"/>
  <c r="BZ8"/>
  <c r="BY8"/>
  <c r="CA7"/>
  <c r="BW7"/>
  <c r="BV7"/>
  <c r="CA6"/>
  <c r="BW6"/>
  <c r="BW75" s="1"/>
  <c r="BV6"/>
  <c r="BV75" s="1"/>
  <c r="BW71" l="1"/>
  <c r="BX64"/>
  <c r="BW62"/>
  <c r="BX55"/>
  <c r="BW56"/>
  <c r="BW50"/>
  <c r="BX48"/>
  <c r="BW44"/>
  <c r="BW41"/>
  <c r="BW11"/>
  <c r="BW38"/>
  <c r="BW35"/>
  <c r="BW32"/>
  <c r="BW29"/>
  <c r="BW23"/>
  <c r="BW17"/>
  <c r="BW14"/>
  <c r="BW8"/>
  <c r="BX69"/>
  <c r="BV71"/>
  <c r="BX60"/>
  <c r="BV49"/>
  <c r="BV50" s="1"/>
  <c r="BX42"/>
  <c r="BV44"/>
  <c r="BX73"/>
  <c r="BX72"/>
  <c r="BV74"/>
  <c r="BX36"/>
  <c r="BV38"/>
  <c r="BX33"/>
  <c r="BV35"/>
  <c r="BX30"/>
  <c r="BV32"/>
  <c r="BV29"/>
  <c r="BV26"/>
  <c r="BX21"/>
  <c r="BV23"/>
  <c r="BV20"/>
  <c r="BX15"/>
  <c r="BV17"/>
  <c r="BX12"/>
  <c r="BV14"/>
  <c r="BV11"/>
  <c r="BX75"/>
  <c r="BZ95"/>
  <c r="BZ94"/>
  <c r="BX6"/>
  <c r="BX7"/>
  <c r="BV8"/>
  <c r="BX10"/>
  <c r="BX13"/>
  <c r="BX16"/>
  <c r="BX19"/>
  <c r="BX22"/>
  <c r="BX25"/>
  <c r="BX28"/>
  <c r="BX31"/>
  <c r="BX34"/>
  <c r="BX37"/>
  <c r="BX40"/>
  <c r="BX43"/>
  <c r="BX46"/>
  <c r="BX49"/>
  <c r="BW53"/>
  <c r="BV56"/>
  <c r="BX58"/>
  <c r="BV61"/>
  <c r="BV62" s="1"/>
  <c r="CA61"/>
  <c r="BV65"/>
  <c r="BX67"/>
  <c r="BX70"/>
  <c r="BW74"/>
  <c r="CA75"/>
  <c r="BW76"/>
  <c r="BY76"/>
  <c r="CA76" s="1"/>
  <c r="BZ77"/>
  <c r="BY50"/>
  <c r="J79" i="5"/>
  <c r="J78"/>
  <c r="BZ79"/>
  <c r="BY79"/>
  <c r="BZ78"/>
  <c r="BY78"/>
  <c r="BZ77"/>
  <c r="BY77"/>
  <c r="CA76"/>
  <c r="BW76"/>
  <c r="BX76" s="1"/>
  <c r="BV76"/>
  <c r="CA75"/>
  <c r="BW75"/>
  <c r="BV75"/>
  <c r="BZ74"/>
  <c r="BY74"/>
  <c r="CA73"/>
  <c r="BW73"/>
  <c r="BX73" s="1"/>
  <c r="BV73"/>
  <c r="CA72"/>
  <c r="BW72"/>
  <c r="BV72"/>
  <c r="BZ71"/>
  <c r="BY71"/>
  <c r="CA70"/>
  <c r="BW70"/>
  <c r="BX70" s="1"/>
  <c r="BV70"/>
  <c r="CA69"/>
  <c r="BW69"/>
  <c r="BV69"/>
  <c r="BZ68"/>
  <c r="BY68"/>
  <c r="CA67"/>
  <c r="BW67"/>
  <c r="BX67" s="1"/>
  <c r="BV67"/>
  <c r="CA66"/>
  <c r="BW66"/>
  <c r="BV66"/>
  <c r="BZ65"/>
  <c r="BY65"/>
  <c r="CA64"/>
  <c r="BW64"/>
  <c r="BX64" s="1"/>
  <c r="BV64"/>
  <c r="CA63"/>
  <c r="BW63"/>
  <c r="BV63"/>
  <c r="BZ62"/>
  <c r="BY62"/>
  <c r="CA61"/>
  <c r="BW61"/>
  <c r="BX61" s="1"/>
  <c r="BV61"/>
  <c r="CA60"/>
  <c r="BW60"/>
  <c r="BV60"/>
  <c r="BZ59"/>
  <c r="BY59"/>
  <c r="CA58"/>
  <c r="BW58"/>
  <c r="BX58" s="1"/>
  <c r="BV58"/>
  <c r="CA57"/>
  <c r="BW57"/>
  <c r="BV57"/>
  <c r="BZ56"/>
  <c r="BY56"/>
  <c r="CA55"/>
  <c r="BW55"/>
  <c r="BX55" s="1"/>
  <c r="BV55"/>
  <c r="CA54"/>
  <c r="BW54"/>
  <c r="BV54"/>
  <c r="BZ53"/>
  <c r="BY53"/>
  <c r="CA52"/>
  <c r="BW52"/>
  <c r="BX52" s="1"/>
  <c r="BV52"/>
  <c r="CA51"/>
  <c r="BW51"/>
  <c r="BV51"/>
  <c r="BZ50"/>
  <c r="BY50"/>
  <c r="CA49"/>
  <c r="BW49"/>
  <c r="BX49" s="1"/>
  <c r="BV49"/>
  <c r="CA48"/>
  <c r="BW48"/>
  <c r="BV48"/>
  <c r="BZ47"/>
  <c r="BY47"/>
  <c r="CA46"/>
  <c r="BW46"/>
  <c r="BX46" s="1"/>
  <c r="BV46"/>
  <c r="CA45"/>
  <c r="BW45"/>
  <c r="BV45"/>
  <c r="BZ44"/>
  <c r="BY44"/>
  <c r="CA43"/>
  <c r="BW43"/>
  <c r="BV43"/>
  <c r="CA42"/>
  <c r="BW42"/>
  <c r="BV42"/>
  <c r="BZ41"/>
  <c r="BY41"/>
  <c r="CA40"/>
  <c r="BW40"/>
  <c r="BX40" s="1"/>
  <c r="BV40"/>
  <c r="CA39"/>
  <c r="BW39"/>
  <c r="BV39"/>
  <c r="BZ38"/>
  <c r="BY38"/>
  <c r="CA37"/>
  <c r="BW37"/>
  <c r="BV37"/>
  <c r="CA36"/>
  <c r="BW36"/>
  <c r="BV36"/>
  <c r="BZ35"/>
  <c r="BY35"/>
  <c r="CA34"/>
  <c r="BW34"/>
  <c r="BV34"/>
  <c r="CA33"/>
  <c r="BW33"/>
  <c r="BV33"/>
  <c r="BZ32"/>
  <c r="BY32"/>
  <c r="CA31"/>
  <c r="BW31"/>
  <c r="BX31" s="1"/>
  <c r="BV31"/>
  <c r="CA30"/>
  <c r="BW30"/>
  <c r="BV30"/>
  <c r="BZ29"/>
  <c r="BY29"/>
  <c r="CA28"/>
  <c r="BW28"/>
  <c r="BV28"/>
  <c r="CA27"/>
  <c r="BW27"/>
  <c r="BV27"/>
  <c r="BZ26"/>
  <c r="BY26"/>
  <c r="CA25"/>
  <c r="BW25"/>
  <c r="BV25"/>
  <c r="CA24"/>
  <c r="BW24"/>
  <c r="BV24"/>
  <c r="BZ23"/>
  <c r="BY23"/>
  <c r="CA22"/>
  <c r="BW22"/>
  <c r="BV22"/>
  <c r="BV23" s="1"/>
  <c r="CA21"/>
  <c r="BW21"/>
  <c r="BX21" s="1"/>
  <c r="BV21"/>
  <c r="BZ20"/>
  <c r="BY20"/>
  <c r="CA19"/>
  <c r="BW19"/>
  <c r="BV19"/>
  <c r="CA18"/>
  <c r="BW18"/>
  <c r="BV18"/>
  <c r="BZ17"/>
  <c r="BY17"/>
  <c r="CA16"/>
  <c r="BW16"/>
  <c r="BV16"/>
  <c r="CA15"/>
  <c r="BW15"/>
  <c r="BV15"/>
  <c r="BZ14"/>
  <c r="BY14"/>
  <c r="CA13"/>
  <c r="BW13"/>
  <c r="BV13"/>
  <c r="CA12"/>
  <c r="BW12"/>
  <c r="BV12"/>
  <c r="BZ11"/>
  <c r="BY11"/>
  <c r="CA10"/>
  <c r="BW10"/>
  <c r="BV10"/>
  <c r="CA9"/>
  <c r="BW9"/>
  <c r="BX9" s="1"/>
  <c r="BV9"/>
  <c r="BZ8"/>
  <c r="BY8"/>
  <c r="CA7"/>
  <c r="BW7"/>
  <c r="BX7" s="1"/>
  <c r="BV7"/>
  <c r="BV79" s="1"/>
  <c r="CA6"/>
  <c r="BW6"/>
  <c r="BV6"/>
  <c r="BV78" s="1"/>
  <c r="BZ79" i="6"/>
  <c r="BY79"/>
  <c r="BZ78"/>
  <c r="BY78"/>
  <c r="BZ77"/>
  <c r="BY77"/>
  <c r="CA76"/>
  <c r="BW76"/>
  <c r="BX76" s="1"/>
  <c r="BV76"/>
  <c r="CA75"/>
  <c r="BW75"/>
  <c r="BV75"/>
  <c r="BZ74"/>
  <c r="BY74"/>
  <c r="CA73"/>
  <c r="BW73"/>
  <c r="BX73" s="1"/>
  <c r="BV73"/>
  <c r="CA72"/>
  <c r="BW72"/>
  <c r="BV72"/>
  <c r="BZ71"/>
  <c r="BY71"/>
  <c r="CA70"/>
  <c r="BW70"/>
  <c r="BX70" s="1"/>
  <c r="BV70"/>
  <c r="BV71" s="1"/>
  <c r="CA69"/>
  <c r="BW69"/>
  <c r="BX69" s="1"/>
  <c r="BV69"/>
  <c r="BZ68"/>
  <c r="BY68"/>
  <c r="CA67"/>
  <c r="BW67"/>
  <c r="BX67" s="1"/>
  <c r="BV67"/>
  <c r="CA66"/>
  <c r="BW66"/>
  <c r="BV66"/>
  <c r="BZ65"/>
  <c r="BY65"/>
  <c r="CA64"/>
  <c r="BW64"/>
  <c r="BX64" s="1"/>
  <c r="BV64"/>
  <c r="CA63"/>
  <c r="BW63"/>
  <c r="BV63"/>
  <c r="BZ62"/>
  <c r="BY62"/>
  <c r="CA61"/>
  <c r="BW61"/>
  <c r="BX61" s="1"/>
  <c r="BV61"/>
  <c r="CA60"/>
  <c r="BW60"/>
  <c r="BV60"/>
  <c r="BZ59"/>
  <c r="BY59"/>
  <c r="CA58"/>
  <c r="BW58"/>
  <c r="BX58" s="1"/>
  <c r="BV58"/>
  <c r="CA57"/>
  <c r="BW57"/>
  <c r="BV57"/>
  <c r="BZ56"/>
  <c r="BY56"/>
  <c r="CA55"/>
  <c r="BW55"/>
  <c r="BX55" s="1"/>
  <c r="BV55"/>
  <c r="CA54"/>
  <c r="BW54"/>
  <c r="BV54"/>
  <c r="BZ53"/>
  <c r="BY53"/>
  <c r="CA52"/>
  <c r="BW52"/>
  <c r="BX52" s="1"/>
  <c r="BV52"/>
  <c r="CA51"/>
  <c r="BW51"/>
  <c r="BV51"/>
  <c r="BZ50"/>
  <c r="BY50"/>
  <c r="CA49"/>
  <c r="BW49"/>
  <c r="BX49" s="1"/>
  <c r="BV49"/>
  <c r="BV50" s="1"/>
  <c r="CA48"/>
  <c r="BW48"/>
  <c r="BX48" s="1"/>
  <c r="BV48"/>
  <c r="BZ47"/>
  <c r="BY47"/>
  <c r="CA46"/>
  <c r="BW46"/>
  <c r="BV46"/>
  <c r="CA45"/>
  <c r="BW45"/>
  <c r="BV45"/>
  <c r="BZ44"/>
  <c r="BY44"/>
  <c r="CA43"/>
  <c r="BW43"/>
  <c r="BV43"/>
  <c r="CA42"/>
  <c r="BW42"/>
  <c r="BV42"/>
  <c r="BZ41"/>
  <c r="BY41"/>
  <c r="CA40"/>
  <c r="BW40"/>
  <c r="BX40" s="1"/>
  <c r="BV40"/>
  <c r="BV41" s="1"/>
  <c r="CA39"/>
  <c r="BW39"/>
  <c r="BX39" s="1"/>
  <c r="BV39"/>
  <c r="BZ38"/>
  <c r="BY38"/>
  <c r="CA37"/>
  <c r="BW37"/>
  <c r="BV37"/>
  <c r="CA36"/>
  <c r="BW36"/>
  <c r="BV36"/>
  <c r="BZ35"/>
  <c r="BY35"/>
  <c r="CA34"/>
  <c r="BW34"/>
  <c r="BV34"/>
  <c r="CA33"/>
  <c r="BW33"/>
  <c r="BV33"/>
  <c r="BZ32"/>
  <c r="BY32"/>
  <c r="CA31"/>
  <c r="BW31"/>
  <c r="BV31"/>
  <c r="CA30"/>
  <c r="BW30"/>
  <c r="BV30"/>
  <c r="BZ29"/>
  <c r="BY29"/>
  <c r="CA28"/>
  <c r="BW28"/>
  <c r="BV28"/>
  <c r="CA27"/>
  <c r="BW27"/>
  <c r="BV27"/>
  <c r="BZ26"/>
  <c r="BY26"/>
  <c r="CA25"/>
  <c r="BW25"/>
  <c r="BV25"/>
  <c r="CA24"/>
  <c r="BW24"/>
  <c r="BV24"/>
  <c r="BZ23"/>
  <c r="BY23"/>
  <c r="CA22"/>
  <c r="BW22"/>
  <c r="BX22" s="1"/>
  <c r="BV22"/>
  <c r="BV23" s="1"/>
  <c r="CA21"/>
  <c r="BW21"/>
  <c r="BX21" s="1"/>
  <c r="BV21"/>
  <c r="BZ20"/>
  <c r="BY20"/>
  <c r="CA19"/>
  <c r="BW19"/>
  <c r="BV19"/>
  <c r="CA18"/>
  <c r="BW18"/>
  <c r="BV18"/>
  <c r="BZ17"/>
  <c r="BY17"/>
  <c r="CA16"/>
  <c r="BW16"/>
  <c r="BV16"/>
  <c r="BV79" s="1"/>
  <c r="CA15"/>
  <c r="BW15"/>
  <c r="BV15"/>
  <c r="BV78" s="1"/>
  <c r="BZ14"/>
  <c r="BY14"/>
  <c r="CA13"/>
  <c r="BW13"/>
  <c r="BX13" s="1"/>
  <c r="BV13"/>
  <c r="BV14" s="1"/>
  <c r="CA12"/>
  <c r="BW12"/>
  <c r="BX12" s="1"/>
  <c r="BV12"/>
  <c r="BZ11"/>
  <c r="BY11"/>
  <c r="CA10"/>
  <c r="BW10"/>
  <c r="BX10" s="1"/>
  <c r="BV10"/>
  <c r="BV11" s="1"/>
  <c r="CA9"/>
  <c r="BW9"/>
  <c r="BX9" s="1"/>
  <c r="BV9"/>
  <c r="BZ8"/>
  <c r="BY8"/>
  <c r="CA7"/>
  <c r="BW7"/>
  <c r="BV7"/>
  <c r="CA6"/>
  <c r="BW6"/>
  <c r="BV6"/>
  <c r="BY77" i="2" l="1"/>
  <c r="BX61"/>
  <c r="BW77"/>
  <c r="BV76"/>
  <c r="BV77" s="1"/>
  <c r="BZ80" i="5"/>
  <c r="BZ80" i="6"/>
  <c r="BX75" i="5"/>
  <c r="BV77"/>
  <c r="BX75" i="6"/>
  <c r="BV77"/>
  <c r="BX72"/>
  <c r="BV74"/>
  <c r="BX72" i="5"/>
  <c r="BV74"/>
  <c r="BX69"/>
  <c r="BV71"/>
  <c r="BX66" i="6"/>
  <c r="BV68"/>
  <c r="BX66" i="5"/>
  <c r="BV68"/>
  <c r="BX63"/>
  <c r="BV65"/>
  <c r="BX63" i="6"/>
  <c r="BV65"/>
  <c r="BX60"/>
  <c r="BV62"/>
  <c r="BX60" i="5"/>
  <c r="BV62"/>
  <c r="BX57"/>
  <c r="BV59"/>
  <c r="BX57" i="6"/>
  <c r="BV59"/>
  <c r="BX54"/>
  <c r="BV56"/>
  <c r="BX54" i="5"/>
  <c r="BV56"/>
  <c r="BX51"/>
  <c r="BV53"/>
  <c r="BX51" i="6"/>
  <c r="BV53"/>
  <c r="BX48" i="5"/>
  <c r="BV50"/>
  <c r="BX45"/>
  <c r="BV47"/>
  <c r="BX46" i="6"/>
  <c r="BX45"/>
  <c r="BV47"/>
  <c r="BX43"/>
  <c r="BX42"/>
  <c r="BV44"/>
  <c r="BX43" i="5"/>
  <c r="BX42"/>
  <c r="BV44"/>
  <c r="BX39"/>
  <c r="BV41"/>
  <c r="BX37"/>
  <c r="BX36"/>
  <c r="BV38"/>
  <c r="BX37" i="6"/>
  <c r="BX36"/>
  <c r="BV38"/>
  <c r="BX34"/>
  <c r="BX33"/>
  <c r="BV35"/>
  <c r="BX34" i="5"/>
  <c r="BX33"/>
  <c r="BV35"/>
  <c r="BX30"/>
  <c r="BV32"/>
  <c r="BX31" i="6"/>
  <c r="BX30"/>
  <c r="BV32"/>
  <c r="BX28"/>
  <c r="BX27"/>
  <c r="BV29"/>
  <c r="BX28" i="5"/>
  <c r="BX27"/>
  <c r="BV29"/>
  <c r="BX25"/>
  <c r="BX24"/>
  <c r="BV26"/>
  <c r="BX22"/>
  <c r="BX19"/>
  <c r="BX18"/>
  <c r="BV20"/>
  <c r="BX16"/>
  <c r="BX15"/>
  <c r="BV17"/>
  <c r="BX13"/>
  <c r="BX12"/>
  <c r="BV14"/>
  <c r="BX10"/>
  <c r="BV11"/>
  <c r="BX6"/>
  <c r="BV80"/>
  <c r="CA78"/>
  <c r="BY80"/>
  <c r="BX25" i="6"/>
  <c r="BX24"/>
  <c r="BV26"/>
  <c r="BX19"/>
  <c r="BX18"/>
  <c r="BV20"/>
  <c r="BX16"/>
  <c r="BX15"/>
  <c r="BV80"/>
  <c r="BX7"/>
  <c r="BX6"/>
  <c r="BV8"/>
  <c r="CA78"/>
  <c r="BY80"/>
  <c r="BW8" i="5"/>
  <c r="BW11"/>
  <c r="BW14"/>
  <c r="BW17"/>
  <c r="BW20"/>
  <c r="BW23"/>
  <c r="BW26"/>
  <c r="BW29"/>
  <c r="BW32"/>
  <c r="BW35"/>
  <c r="BW38"/>
  <c r="BW41"/>
  <c r="BW44"/>
  <c r="BW47"/>
  <c r="BW50"/>
  <c r="BW53"/>
  <c r="BW56"/>
  <c r="BW59"/>
  <c r="BW62"/>
  <c r="BW65"/>
  <c r="BW68"/>
  <c r="BW71"/>
  <c r="BW74"/>
  <c r="BW77"/>
  <c r="BW78"/>
  <c r="BX78" s="1"/>
  <c r="BW79"/>
  <c r="CA79"/>
  <c r="BV8"/>
  <c r="BW8" i="6"/>
  <c r="BW11"/>
  <c r="BW17"/>
  <c r="BW20"/>
  <c r="BW23"/>
  <c r="BW26"/>
  <c r="BW29"/>
  <c r="BW32"/>
  <c r="BW35"/>
  <c r="BW38"/>
  <c r="BW41"/>
  <c r="BW44"/>
  <c r="BW47"/>
  <c r="BW50"/>
  <c r="BW53"/>
  <c r="BW56"/>
  <c r="BW59"/>
  <c r="BW62"/>
  <c r="BW65"/>
  <c r="BW68"/>
  <c r="BW71"/>
  <c r="BW74"/>
  <c r="BW77"/>
  <c r="BW78"/>
  <c r="BX78" s="1"/>
  <c r="BW79"/>
  <c r="CA79"/>
  <c r="BW14"/>
  <c r="BV17"/>
  <c r="J46" i="3"/>
  <c r="J47" s="1"/>
  <c r="J45"/>
  <c r="J44"/>
  <c r="J41"/>
  <c r="J38"/>
  <c r="J35"/>
  <c r="J32"/>
  <c r="J29"/>
  <c r="J26"/>
  <c r="J23"/>
  <c r="J20"/>
  <c r="J17"/>
  <c r="J14"/>
  <c r="J11"/>
  <c r="J8"/>
  <c r="J46" i="4"/>
  <c r="J47" s="1"/>
  <c r="J45"/>
  <c r="J44"/>
  <c r="J41"/>
  <c r="J38"/>
  <c r="J35"/>
  <c r="J32"/>
  <c r="J29"/>
  <c r="J26"/>
  <c r="J23"/>
  <c r="J20"/>
  <c r="J17"/>
  <c r="J14"/>
  <c r="J11"/>
  <c r="J8"/>
  <c r="BZ46" i="3"/>
  <c r="BY46"/>
  <c r="BZ45"/>
  <c r="BY45"/>
  <c r="BZ44"/>
  <c r="BY44"/>
  <c r="CA43"/>
  <c r="BW43"/>
  <c r="BX43" s="1"/>
  <c r="BV43"/>
  <c r="BV44" s="1"/>
  <c r="CA42"/>
  <c r="BW42"/>
  <c r="BX42" s="1"/>
  <c r="BV42"/>
  <c r="BZ41"/>
  <c r="BY41"/>
  <c r="CA40"/>
  <c r="BW40"/>
  <c r="BV40"/>
  <c r="CA39"/>
  <c r="BW39"/>
  <c r="BV39"/>
  <c r="BZ38"/>
  <c r="BY38"/>
  <c r="CA37"/>
  <c r="BW37"/>
  <c r="BX37" s="1"/>
  <c r="BV37"/>
  <c r="CA36"/>
  <c r="BW36"/>
  <c r="BV36"/>
  <c r="BZ35"/>
  <c r="BY35"/>
  <c r="CA34"/>
  <c r="BW34"/>
  <c r="BX34" s="1"/>
  <c r="BV34"/>
  <c r="BV35" s="1"/>
  <c r="CA33"/>
  <c r="BW33"/>
  <c r="BX33" s="1"/>
  <c r="BV33"/>
  <c r="BZ32"/>
  <c r="BY32"/>
  <c r="CA31"/>
  <c r="BW31"/>
  <c r="BV31"/>
  <c r="CA30"/>
  <c r="BW30"/>
  <c r="BV30"/>
  <c r="BZ29"/>
  <c r="BY29"/>
  <c r="CA28"/>
  <c r="BW28"/>
  <c r="BX28" s="1"/>
  <c r="BV28"/>
  <c r="CA27"/>
  <c r="BW27"/>
  <c r="BV27"/>
  <c r="BZ26"/>
  <c r="BY26"/>
  <c r="CA25"/>
  <c r="BW25"/>
  <c r="BV25"/>
  <c r="CA24"/>
  <c r="BW24"/>
  <c r="BV24"/>
  <c r="BZ23"/>
  <c r="BY23"/>
  <c r="CA22"/>
  <c r="BW22"/>
  <c r="BX22" s="1"/>
  <c r="BV22"/>
  <c r="CA21"/>
  <c r="BW21"/>
  <c r="BV21"/>
  <c r="BZ20"/>
  <c r="BY20"/>
  <c r="CA19"/>
  <c r="BW19"/>
  <c r="BX19" s="1"/>
  <c r="BV19"/>
  <c r="CA18"/>
  <c r="BW18"/>
  <c r="BV18"/>
  <c r="BZ17"/>
  <c r="BY17"/>
  <c r="CA16"/>
  <c r="BW16"/>
  <c r="BV16"/>
  <c r="CA15"/>
  <c r="BW15"/>
  <c r="BV15"/>
  <c r="BZ14"/>
  <c r="BY14"/>
  <c r="CA13"/>
  <c r="BW13"/>
  <c r="BX13" s="1"/>
  <c r="BV13"/>
  <c r="BV14" s="1"/>
  <c r="CA12"/>
  <c r="BW12"/>
  <c r="BX12" s="1"/>
  <c r="BV12"/>
  <c r="BZ11"/>
  <c r="BY11"/>
  <c r="CA10"/>
  <c r="BW10"/>
  <c r="BV10"/>
  <c r="CA9"/>
  <c r="BW9"/>
  <c r="BV9"/>
  <c r="BZ8"/>
  <c r="BY8"/>
  <c r="CA7"/>
  <c r="BW7"/>
  <c r="BX7" s="1"/>
  <c r="BV7"/>
  <c r="BV46" s="1"/>
  <c r="CA6"/>
  <c r="BW6"/>
  <c r="BV6"/>
  <c r="BV45" s="1"/>
  <c r="BZ46" i="4"/>
  <c r="BY46"/>
  <c r="BZ45"/>
  <c r="BY45"/>
  <c r="BZ44"/>
  <c r="BY44"/>
  <c r="CA43"/>
  <c r="BW43"/>
  <c r="BX43" s="1"/>
  <c r="BV43"/>
  <c r="BV44" s="1"/>
  <c r="CA42"/>
  <c r="BW42"/>
  <c r="BX42" s="1"/>
  <c r="BV42"/>
  <c r="BZ41"/>
  <c r="BY41"/>
  <c r="CA40"/>
  <c r="BW40"/>
  <c r="BX40" s="1"/>
  <c r="BV40"/>
  <c r="CA39"/>
  <c r="BW39"/>
  <c r="BV39"/>
  <c r="BZ38"/>
  <c r="BY38"/>
  <c r="CA37"/>
  <c r="BW37"/>
  <c r="BX37" s="1"/>
  <c r="BV37"/>
  <c r="CA36"/>
  <c r="BW36"/>
  <c r="BV36"/>
  <c r="BZ35"/>
  <c r="BY35"/>
  <c r="CA34"/>
  <c r="BW34"/>
  <c r="BX34" s="1"/>
  <c r="BV34"/>
  <c r="BV35" s="1"/>
  <c r="CA33"/>
  <c r="BW33"/>
  <c r="BX33" s="1"/>
  <c r="BV33"/>
  <c r="BZ32"/>
  <c r="BY32"/>
  <c r="CA31"/>
  <c r="BW31"/>
  <c r="BX31" s="1"/>
  <c r="BV31"/>
  <c r="CA30"/>
  <c r="BW30"/>
  <c r="BV30"/>
  <c r="BZ29"/>
  <c r="BY29"/>
  <c r="CA28"/>
  <c r="BW28"/>
  <c r="BX28" s="1"/>
  <c r="BV28"/>
  <c r="BV29" s="1"/>
  <c r="CA27"/>
  <c r="BW27"/>
  <c r="BX27" s="1"/>
  <c r="BV27"/>
  <c r="BZ26"/>
  <c r="BY26"/>
  <c r="CA25"/>
  <c r="BW25"/>
  <c r="BX25" s="1"/>
  <c r="BV25"/>
  <c r="CA24"/>
  <c r="BW24"/>
  <c r="BV24"/>
  <c r="BZ23"/>
  <c r="BY23"/>
  <c r="CA22"/>
  <c r="BW22"/>
  <c r="BX22" s="1"/>
  <c r="BV22"/>
  <c r="CA21"/>
  <c r="BW21"/>
  <c r="BV21"/>
  <c r="BZ20"/>
  <c r="BY20"/>
  <c r="CA19"/>
  <c r="BW19"/>
  <c r="BX19" s="1"/>
  <c r="BV19"/>
  <c r="BV20" s="1"/>
  <c r="CA18"/>
  <c r="BW18"/>
  <c r="BX18" s="1"/>
  <c r="BV18"/>
  <c r="BZ17"/>
  <c r="BY17"/>
  <c r="CA16"/>
  <c r="BW16"/>
  <c r="BV16"/>
  <c r="CA15"/>
  <c r="BW15"/>
  <c r="BV15"/>
  <c r="BZ14"/>
  <c r="BY14"/>
  <c r="CA13"/>
  <c r="BW13"/>
  <c r="BX13" s="1"/>
  <c r="BV13"/>
  <c r="BV14" s="1"/>
  <c r="CA12"/>
  <c r="BW12"/>
  <c r="BX12" s="1"/>
  <c r="BV12"/>
  <c r="BZ11"/>
  <c r="BY11"/>
  <c r="CA10"/>
  <c r="BW10"/>
  <c r="BX10" s="1"/>
  <c r="BV10"/>
  <c r="CA9"/>
  <c r="BW9"/>
  <c r="BV9"/>
  <c r="BZ8"/>
  <c r="BY8"/>
  <c r="CA7"/>
  <c r="BW7"/>
  <c r="BX7" s="1"/>
  <c r="BV7"/>
  <c r="BV46" s="1"/>
  <c r="CA6"/>
  <c r="BW6"/>
  <c r="BV6"/>
  <c r="BV45" s="1"/>
  <c r="BZ75" i="1"/>
  <c r="BZ74"/>
  <c r="BY74"/>
  <c r="CA73"/>
  <c r="BW73"/>
  <c r="BV73"/>
  <c r="CA72"/>
  <c r="BW72"/>
  <c r="BV72"/>
  <c r="BZ71"/>
  <c r="BY71"/>
  <c r="BW70"/>
  <c r="CA69"/>
  <c r="BW69"/>
  <c r="BV69"/>
  <c r="BX69" s="1"/>
  <c r="BZ68"/>
  <c r="BV67"/>
  <c r="CA66"/>
  <c r="BW66"/>
  <c r="BZ65"/>
  <c r="BY65"/>
  <c r="BW64"/>
  <c r="CA63"/>
  <c r="BW63"/>
  <c r="BV63"/>
  <c r="BX63" s="1"/>
  <c r="BZ62"/>
  <c r="BV61"/>
  <c r="CA60"/>
  <c r="BW60"/>
  <c r="BZ59"/>
  <c r="BY59"/>
  <c r="BW58"/>
  <c r="CA57"/>
  <c r="BW57"/>
  <c r="BV57"/>
  <c r="BX57" s="1"/>
  <c r="BZ56"/>
  <c r="BV55"/>
  <c r="CA54"/>
  <c r="BW54"/>
  <c r="BZ53"/>
  <c r="BY53"/>
  <c r="BW52"/>
  <c r="CA51"/>
  <c r="BW51"/>
  <c r="BV51"/>
  <c r="BZ76"/>
  <c r="BV49"/>
  <c r="BW48"/>
  <c r="BZ47"/>
  <c r="BY47"/>
  <c r="CA46"/>
  <c r="BW46"/>
  <c r="BX46" s="1"/>
  <c r="BV46"/>
  <c r="BV47" s="1"/>
  <c r="CA45"/>
  <c r="BW45"/>
  <c r="BX45" s="1"/>
  <c r="BV45"/>
  <c r="BZ44"/>
  <c r="BY44"/>
  <c r="CA43"/>
  <c r="BW43"/>
  <c r="BV43"/>
  <c r="CA42"/>
  <c r="BW42"/>
  <c r="BX42" s="1"/>
  <c r="BV42"/>
  <c r="BZ41"/>
  <c r="BY41"/>
  <c r="CA40"/>
  <c r="BW40"/>
  <c r="BV40"/>
  <c r="BV41" s="1"/>
  <c r="CA39"/>
  <c r="BW39"/>
  <c r="BX39" s="1"/>
  <c r="BV39"/>
  <c r="BZ38"/>
  <c r="BY38"/>
  <c r="CA37"/>
  <c r="BW37"/>
  <c r="BV37"/>
  <c r="CA36"/>
  <c r="BW36"/>
  <c r="BV36"/>
  <c r="BZ35"/>
  <c r="BY35"/>
  <c r="CA34"/>
  <c r="BW34"/>
  <c r="BV34"/>
  <c r="CA33"/>
  <c r="BW33"/>
  <c r="BV33"/>
  <c r="BZ32"/>
  <c r="BY32"/>
  <c r="CA31"/>
  <c r="BW31"/>
  <c r="BV31"/>
  <c r="CA30"/>
  <c r="BW30"/>
  <c r="BV30"/>
  <c r="BZ29"/>
  <c r="BY29"/>
  <c r="CA28"/>
  <c r="BW28"/>
  <c r="BV28"/>
  <c r="CA27"/>
  <c r="BW27"/>
  <c r="BV27"/>
  <c r="BZ26"/>
  <c r="BY26"/>
  <c r="CA25"/>
  <c r="BW25"/>
  <c r="BV25"/>
  <c r="CA24"/>
  <c r="BW24"/>
  <c r="BV24"/>
  <c r="BZ23"/>
  <c r="BY23"/>
  <c r="CA22"/>
  <c r="BW22"/>
  <c r="BV22"/>
  <c r="CA21"/>
  <c r="BW21"/>
  <c r="BV21"/>
  <c r="BZ20"/>
  <c r="BY20"/>
  <c r="CA19"/>
  <c r="BW19"/>
  <c r="BV19"/>
  <c r="CA18"/>
  <c r="BW18"/>
  <c r="BV18"/>
  <c r="BZ17"/>
  <c r="BY17"/>
  <c r="CA16"/>
  <c r="BW16"/>
  <c r="BV16"/>
  <c r="CA15"/>
  <c r="BW15"/>
  <c r="BV15"/>
  <c r="BZ14"/>
  <c r="BY14"/>
  <c r="CA13"/>
  <c r="BW13"/>
  <c r="BV13"/>
  <c r="CA12"/>
  <c r="BW12"/>
  <c r="BV12"/>
  <c r="BZ11"/>
  <c r="BY11"/>
  <c r="CA10"/>
  <c r="BW10"/>
  <c r="BV10"/>
  <c r="CA9"/>
  <c r="BW9"/>
  <c r="BV9"/>
  <c r="BZ8"/>
  <c r="BY8"/>
  <c r="CA7"/>
  <c r="BW7"/>
  <c r="BV7"/>
  <c r="CA6"/>
  <c r="BW6"/>
  <c r="BV6"/>
  <c r="BT70"/>
  <c r="BT67"/>
  <c r="BT64"/>
  <c r="BT61"/>
  <c r="BT58"/>
  <c r="BT55"/>
  <c r="BT52"/>
  <c r="BT49"/>
  <c r="BS70"/>
  <c r="BS69"/>
  <c r="BS67"/>
  <c r="BS68" s="1"/>
  <c r="BS66"/>
  <c r="BS64"/>
  <c r="BS63"/>
  <c r="BS61"/>
  <c r="BS60"/>
  <c r="BS58"/>
  <c r="BS57"/>
  <c r="BS55"/>
  <c r="BS54"/>
  <c r="BS52"/>
  <c r="BS51"/>
  <c r="BS49"/>
  <c r="BS48"/>
  <c r="BS70" i="2"/>
  <c r="BS71" s="1"/>
  <c r="BS64"/>
  <c r="BS61"/>
  <c r="BS55"/>
  <c r="BS49"/>
  <c r="BT75" i="1"/>
  <c r="BT74"/>
  <c r="BS74"/>
  <c r="BU73"/>
  <c r="BQ73"/>
  <c r="BQ74" s="1"/>
  <c r="BP73"/>
  <c r="BU72"/>
  <c r="BQ72"/>
  <c r="BP72"/>
  <c r="BR72" s="1"/>
  <c r="BT71"/>
  <c r="BS71"/>
  <c r="BQ70"/>
  <c r="BU69"/>
  <c r="BQ69"/>
  <c r="BP69"/>
  <c r="BR69" s="1"/>
  <c r="BT68"/>
  <c r="BQ67"/>
  <c r="BQ68" s="1"/>
  <c r="BU66"/>
  <c r="BQ66"/>
  <c r="BP66"/>
  <c r="BR66" s="1"/>
  <c r="BT65"/>
  <c r="BP64"/>
  <c r="BS65"/>
  <c r="BQ63"/>
  <c r="BT62"/>
  <c r="BT76"/>
  <c r="BU61"/>
  <c r="BQ61"/>
  <c r="BU60"/>
  <c r="BQ60"/>
  <c r="BP60"/>
  <c r="BT59"/>
  <c r="BS59"/>
  <c r="BQ58"/>
  <c r="BU57"/>
  <c r="BQ57"/>
  <c r="BP57"/>
  <c r="BT56"/>
  <c r="BS56"/>
  <c r="BQ55"/>
  <c r="BU54"/>
  <c r="BQ54"/>
  <c r="BP54"/>
  <c r="BR54" s="1"/>
  <c r="BT53"/>
  <c r="BS53"/>
  <c r="BQ52"/>
  <c r="BU51"/>
  <c r="BQ51"/>
  <c r="BP51"/>
  <c r="BT50"/>
  <c r="BQ49"/>
  <c r="BU48"/>
  <c r="BQ48"/>
  <c r="BP48"/>
  <c r="BT47"/>
  <c r="BS47"/>
  <c r="BU46"/>
  <c r="BQ46"/>
  <c r="BP46"/>
  <c r="BP47" s="1"/>
  <c r="BU45"/>
  <c r="BQ45"/>
  <c r="BP45"/>
  <c r="BR45" s="1"/>
  <c r="BT44"/>
  <c r="BS44"/>
  <c r="BU43"/>
  <c r="BQ43"/>
  <c r="BP43"/>
  <c r="BU42"/>
  <c r="BQ42"/>
  <c r="BP42"/>
  <c r="BR42" s="1"/>
  <c r="BT41"/>
  <c r="BS41"/>
  <c r="BU40"/>
  <c r="BQ40"/>
  <c r="BP40"/>
  <c r="BU39"/>
  <c r="BQ39"/>
  <c r="BP39"/>
  <c r="BR39" s="1"/>
  <c r="BT38"/>
  <c r="BS38"/>
  <c r="BU37"/>
  <c r="BQ37"/>
  <c r="BP37"/>
  <c r="BP38" s="1"/>
  <c r="BU36"/>
  <c r="BQ36"/>
  <c r="BP36"/>
  <c r="BR36" s="1"/>
  <c r="BT35"/>
  <c r="BS35"/>
  <c r="BU34"/>
  <c r="BQ34"/>
  <c r="BQ35" s="1"/>
  <c r="BP34"/>
  <c r="BU33"/>
  <c r="BQ33"/>
  <c r="BP33"/>
  <c r="BR33" s="1"/>
  <c r="BT32"/>
  <c r="BS32"/>
  <c r="BU31"/>
  <c r="BQ31"/>
  <c r="BP31"/>
  <c r="BU30"/>
  <c r="BQ30"/>
  <c r="BP30"/>
  <c r="BT29"/>
  <c r="BS29"/>
  <c r="BU28"/>
  <c r="BQ28"/>
  <c r="BP28"/>
  <c r="BU27"/>
  <c r="BQ27"/>
  <c r="BP27"/>
  <c r="BT26"/>
  <c r="BS26"/>
  <c r="BU25"/>
  <c r="BQ25"/>
  <c r="BP25"/>
  <c r="BU24"/>
  <c r="BQ24"/>
  <c r="BP24"/>
  <c r="BT23"/>
  <c r="BS23"/>
  <c r="BU22"/>
  <c r="BQ22"/>
  <c r="BP22"/>
  <c r="BU21"/>
  <c r="BQ21"/>
  <c r="BP21"/>
  <c r="BT20"/>
  <c r="BS20"/>
  <c r="BU19"/>
  <c r="BQ19"/>
  <c r="BP19"/>
  <c r="BU18"/>
  <c r="BQ18"/>
  <c r="BP18"/>
  <c r="BT17"/>
  <c r="BS17"/>
  <c r="BU16"/>
  <c r="BQ16"/>
  <c r="BR16" s="1"/>
  <c r="BP16"/>
  <c r="BU15"/>
  <c r="BQ15"/>
  <c r="BP15"/>
  <c r="BT14"/>
  <c r="BS14"/>
  <c r="BU13"/>
  <c r="BQ13"/>
  <c r="BR13" s="1"/>
  <c r="BP13"/>
  <c r="BU12"/>
  <c r="BQ12"/>
  <c r="BP12"/>
  <c r="BT11"/>
  <c r="BS11"/>
  <c r="BU10"/>
  <c r="BQ10"/>
  <c r="BP10"/>
  <c r="BU9"/>
  <c r="BQ9"/>
  <c r="BP9"/>
  <c r="BT8"/>
  <c r="BS8"/>
  <c r="BU7"/>
  <c r="BQ7"/>
  <c r="BP7"/>
  <c r="BU6"/>
  <c r="BQ6"/>
  <c r="BP6"/>
  <c r="BT75" i="2"/>
  <c r="BT74"/>
  <c r="BS74"/>
  <c r="BU73"/>
  <c r="BQ73"/>
  <c r="BP73"/>
  <c r="BU72"/>
  <c r="BQ72"/>
  <c r="BP72"/>
  <c r="BT71"/>
  <c r="BQ70"/>
  <c r="BU69"/>
  <c r="BQ69"/>
  <c r="BP69"/>
  <c r="BT68"/>
  <c r="BS68"/>
  <c r="BU67"/>
  <c r="BQ67"/>
  <c r="BQ68" s="1"/>
  <c r="BP67"/>
  <c r="BP68" s="1"/>
  <c r="BU66"/>
  <c r="BQ66"/>
  <c r="BR66" s="1"/>
  <c r="BP66"/>
  <c r="BT65"/>
  <c r="BU64"/>
  <c r="BS65"/>
  <c r="BQ64"/>
  <c r="BQ65" s="1"/>
  <c r="BP64"/>
  <c r="BU63"/>
  <c r="BQ63"/>
  <c r="BP63"/>
  <c r="BR63" s="1"/>
  <c r="BT62"/>
  <c r="BS62"/>
  <c r="BQ61"/>
  <c r="BU60"/>
  <c r="BQ60"/>
  <c r="BP60"/>
  <c r="BT59"/>
  <c r="BS59"/>
  <c r="BU58"/>
  <c r="BQ58"/>
  <c r="BQ59" s="1"/>
  <c r="BP58"/>
  <c r="BP59" s="1"/>
  <c r="BU57"/>
  <c r="BQ57"/>
  <c r="BR57" s="1"/>
  <c r="BP57"/>
  <c r="BT56"/>
  <c r="BU55"/>
  <c r="BS56"/>
  <c r="BQ55"/>
  <c r="BP55"/>
  <c r="BU54"/>
  <c r="BQ54"/>
  <c r="BP54"/>
  <c r="BR54" s="1"/>
  <c r="BT53"/>
  <c r="BS53"/>
  <c r="BU52"/>
  <c r="BQ52"/>
  <c r="BQ53" s="1"/>
  <c r="BP52"/>
  <c r="BP53" s="1"/>
  <c r="BU51"/>
  <c r="BQ51"/>
  <c r="BR51" s="1"/>
  <c r="BP51"/>
  <c r="BT76"/>
  <c r="BQ49"/>
  <c r="BP49"/>
  <c r="BQ48"/>
  <c r="BP48"/>
  <c r="BT47"/>
  <c r="BS47"/>
  <c r="BU46"/>
  <c r="BQ46"/>
  <c r="BQ47" s="1"/>
  <c r="BP46"/>
  <c r="BP47" s="1"/>
  <c r="BU45"/>
  <c r="BQ45"/>
  <c r="BR45" s="1"/>
  <c r="BP45"/>
  <c r="BT44"/>
  <c r="BS44"/>
  <c r="BU43"/>
  <c r="BQ43"/>
  <c r="BP43"/>
  <c r="BP44" s="1"/>
  <c r="BU42"/>
  <c r="BQ42"/>
  <c r="BR42" s="1"/>
  <c r="BP42"/>
  <c r="BT41"/>
  <c r="BS41"/>
  <c r="BU40"/>
  <c r="BQ40"/>
  <c r="BQ41" s="1"/>
  <c r="BP40"/>
  <c r="BP41" s="1"/>
  <c r="BU39"/>
  <c r="BQ39"/>
  <c r="BR39" s="1"/>
  <c r="BP39"/>
  <c r="BT38"/>
  <c r="BS38"/>
  <c r="BU37"/>
  <c r="BQ37"/>
  <c r="BP37"/>
  <c r="BU36"/>
  <c r="BQ36"/>
  <c r="BP36"/>
  <c r="BT35"/>
  <c r="BS35"/>
  <c r="BU34"/>
  <c r="BQ34"/>
  <c r="BP34"/>
  <c r="BU33"/>
  <c r="BQ33"/>
  <c r="BP33"/>
  <c r="BT32"/>
  <c r="BS32"/>
  <c r="BU31"/>
  <c r="BQ31"/>
  <c r="BP31"/>
  <c r="BU30"/>
  <c r="BQ30"/>
  <c r="BP30"/>
  <c r="BT29"/>
  <c r="BS29"/>
  <c r="BU28"/>
  <c r="BQ28"/>
  <c r="BP28"/>
  <c r="BU27"/>
  <c r="BQ27"/>
  <c r="BP27"/>
  <c r="BT26"/>
  <c r="BS26"/>
  <c r="BU25"/>
  <c r="BQ25"/>
  <c r="BP25"/>
  <c r="BU24"/>
  <c r="BQ24"/>
  <c r="BP24"/>
  <c r="BT23"/>
  <c r="BS23"/>
  <c r="BU22"/>
  <c r="BQ22"/>
  <c r="BP22"/>
  <c r="BU21"/>
  <c r="BQ21"/>
  <c r="BP21"/>
  <c r="BT20"/>
  <c r="BS20"/>
  <c r="BU19"/>
  <c r="BQ19"/>
  <c r="BP19"/>
  <c r="BU18"/>
  <c r="BQ18"/>
  <c r="BP18"/>
  <c r="BT17"/>
  <c r="BS17"/>
  <c r="BU16"/>
  <c r="BQ16"/>
  <c r="BP16"/>
  <c r="BP17" s="1"/>
  <c r="BU15"/>
  <c r="BQ15"/>
  <c r="BR15" s="1"/>
  <c r="BP15"/>
  <c r="BT14"/>
  <c r="BS14"/>
  <c r="BU13"/>
  <c r="BQ13"/>
  <c r="BP13"/>
  <c r="BU12"/>
  <c r="BQ12"/>
  <c r="BP12"/>
  <c r="BT11"/>
  <c r="BS11"/>
  <c r="BU10"/>
  <c r="BQ10"/>
  <c r="BP10"/>
  <c r="BU9"/>
  <c r="BQ9"/>
  <c r="BP9"/>
  <c r="BT8"/>
  <c r="BS8"/>
  <c r="BU7"/>
  <c r="BQ7"/>
  <c r="BP7"/>
  <c r="BU6"/>
  <c r="BQ6"/>
  <c r="BQ75" s="1"/>
  <c r="BP6"/>
  <c r="BP75" s="1"/>
  <c r="BT79" i="5"/>
  <c r="BS79"/>
  <c r="BT78"/>
  <c r="BS78"/>
  <c r="BT77"/>
  <c r="BS77"/>
  <c r="BU76"/>
  <c r="BQ76"/>
  <c r="BR76" s="1"/>
  <c r="BP76"/>
  <c r="BU75"/>
  <c r="BQ75"/>
  <c r="BP75"/>
  <c r="BT74"/>
  <c r="BS74"/>
  <c r="BU73"/>
  <c r="BQ73"/>
  <c r="BR73" s="1"/>
  <c r="BP73"/>
  <c r="BU72"/>
  <c r="BQ72"/>
  <c r="BP72"/>
  <c r="BT71"/>
  <c r="BS71"/>
  <c r="BU70"/>
  <c r="BQ70"/>
  <c r="BR70" s="1"/>
  <c r="BP70"/>
  <c r="BU69"/>
  <c r="BQ69"/>
  <c r="BP69"/>
  <c r="BT68"/>
  <c r="BS68"/>
  <c r="BU67"/>
  <c r="BQ67"/>
  <c r="BR67" s="1"/>
  <c r="BP67"/>
  <c r="BU66"/>
  <c r="BQ66"/>
  <c r="BP66"/>
  <c r="BT65"/>
  <c r="BS65"/>
  <c r="BU64"/>
  <c r="BQ64"/>
  <c r="BR64" s="1"/>
  <c r="BP64"/>
  <c r="BU63"/>
  <c r="BQ63"/>
  <c r="BP63"/>
  <c r="BT62"/>
  <c r="BS62"/>
  <c r="BU61"/>
  <c r="BQ61"/>
  <c r="BR61" s="1"/>
  <c r="BP61"/>
  <c r="BU60"/>
  <c r="BQ60"/>
  <c r="BP60"/>
  <c r="BT59"/>
  <c r="BS59"/>
  <c r="BU58"/>
  <c r="BQ58"/>
  <c r="BR58" s="1"/>
  <c r="BP58"/>
  <c r="BU57"/>
  <c r="BQ57"/>
  <c r="BP57"/>
  <c r="BT56"/>
  <c r="BS56"/>
  <c r="BU55"/>
  <c r="BQ55"/>
  <c r="BR55" s="1"/>
  <c r="BP55"/>
  <c r="BU54"/>
  <c r="BQ54"/>
  <c r="BP54"/>
  <c r="BT53"/>
  <c r="BS53"/>
  <c r="BU52"/>
  <c r="BQ52"/>
  <c r="BR52" s="1"/>
  <c r="BP52"/>
  <c r="BU51"/>
  <c r="BQ51"/>
  <c r="BP51"/>
  <c r="BT50"/>
  <c r="BS50"/>
  <c r="BU49"/>
  <c r="BQ49"/>
  <c r="BP49"/>
  <c r="BU48"/>
  <c r="BQ48"/>
  <c r="BP48"/>
  <c r="BT47"/>
  <c r="BS47"/>
  <c r="BU46"/>
  <c r="BQ46"/>
  <c r="BR46" s="1"/>
  <c r="BP46"/>
  <c r="BU45"/>
  <c r="BQ45"/>
  <c r="BP45"/>
  <c r="BT44"/>
  <c r="BS44"/>
  <c r="BU43"/>
  <c r="BQ43"/>
  <c r="BP43"/>
  <c r="BU42"/>
  <c r="BQ42"/>
  <c r="BP42"/>
  <c r="BT41"/>
  <c r="BS41"/>
  <c r="BU40"/>
  <c r="BQ40"/>
  <c r="BP40"/>
  <c r="BU39"/>
  <c r="BQ39"/>
  <c r="BP39"/>
  <c r="BT38"/>
  <c r="BS38"/>
  <c r="BU37"/>
  <c r="BQ37"/>
  <c r="BP37"/>
  <c r="BU36"/>
  <c r="BQ36"/>
  <c r="BP36"/>
  <c r="BT35"/>
  <c r="BS35"/>
  <c r="BU34"/>
  <c r="BQ34"/>
  <c r="BP34"/>
  <c r="BU33"/>
  <c r="BQ33"/>
  <c r="BP33"/>
  <c r="BT32"/>
  <c r="BS32"/>
  <c r="BU31"/>
  <c r="BQ31"/>
  <c r="BP31"/>
  <c r="BP32" s="1"/>
  <c r="BU30"/>
  <c r="BQ30"/>
  <c r="BR30" s="1"/>
  <c r="BP30"/>
  <c r="BT29"/>
  <c r="BS29"/>
  <c r="BU28"/>
  <c r="BQ28"/>
  <c r="BP28"/>
  <c r="BP29" s="1"/>
  <c r="BU27"/>
  <c r="BQ27"/>
  <c r="BR27" s="1"/>
  <c r="BP27"/>
  <c r="BT26"/>
  <c r="BS26"/>
  <c r="BU25"/>
  <c r="BQ25"/>
  <c r="BP25"/>
  <c r="BU24"/>
  <c r="BQ24"/>
  <c r="BP24"/>
  <c r="BT23"/>
  <c r="BS23"/>
  <c r="BU22"/>
  <c r="BQ22"/>
  <c r="BP22"/>
  <c r="BP23" s="1"/>
  <c r="BU21"/>
  <c r="BQ21"/>
  <c r="BR21" s="1"/>
  <c r="BP21"/>
  <c r="BT20"/>
  <c r="BS20"/>
  <c r="BU19"/>
  <c r="BQ19"/>
  <c r="BP19"/>
  <c r="BU18"/>
  <c r="BQ18"/>
  <c r="BP18"/>
  <c r="BT17"/>
  <c r="BS17"/>
  <c r="BU16"/>
  <c r="BQ16"/>
  <c r="BP16"/>
  <c r="BP17" s="1"/>
  <c r="BU15"/>
  <c r="BQ15"/>
  <c r="BR15" s="1"/>
  <c r="BP15"/>
  <c r="BT14"/>
  <c r="BS14"/>
  <c r="BU13"/>
  <c r="BQ13"/>
  <c r="BP13"/>
  <c r="BU12"/>
  <c r="BQ12"/>
  <c r="BP12"/>
  <c r="BT11"/>
  <c r="BS11"/>
  <c r="BU10"/>
  <c r="BQ10"/>
  <c r="BP10"/>
  <c r="BU9"/>
  <c r="BQ9"/>
  <c r="BP9"/>
  <c r="BT8"/>
  <c r="BS8"/>
  <c r="BU7"/>
  <c r="BQ7"/>
  <c r="BP7"/>
  <c r="BP79" s="1"/>
  <c r="BU6"/>
  <c r="BQ6"/>
  <c r="BP6"/>
  <c r="BP78" s="1"/>
  <c r="BT79" i="6"/>
  <c r="BS79"/>
  <c r="BT78"/>
  <c r="BS78"/>
  <c r="BT77"/>
  <c r="BS77"/>
  <c r="BU76"/>
  <c r="BQ76"/>
  <c r="BR76" s="1"/>
  <c r="BP76"/>
  <c r="BU75"/>
  <c r="BQ75"/>
  <c r="BP75"/>
  <c r="BT74"/>
  <c r="BS74"/>
  <c r="BU73"/>
  <c r="BQ73"/>
  <c r="BR73" s="1"/>
  <c r="BP73"/>
  <c r="BU72"/>
  <c r="BQ72"/>
  <c r="BP72"/>
  <c r="BT71"/>
  <c r="BS71"/>
  <c r="BU70"/>
  <c r="BQ70"/>
  <c r="BR70" s="1"/>
  <c r="BP70"/>
  <c r="BP71" s="1"/>
  <c r="BU69"/>
  <c r="BQ69"/>
  <c r="BR69" s="1"/>
  <c r="BP69"/>
  <c r="BT68"/>
  <c r="BS68"/>
  <c r="BU67"/>
  <c r="BQ67"/>
  <c r="BP67"/>
  <c r="BP68" s="1"/>
  <c r="BU66"/>
  <c r="BQ66"/>
  <c r="BR66" s="1"/>
  <c r="BP66"/>
  <c r="BT65"/>
  <c r="BS65"/>
  <c r="BU64"/>
  <c r="BQ64"/>
  <c r="BR64" s="1"/>
  <c r="BP64"/>
  <c r="BP65" s="1"/>
  <c r="BU63"/>
  <c r="BQ63"/>
  <c r="BR63" s="1"/>
  <c r="BP63"/>
  <c r="BT62"/>
  <c r="BS62"/>
  <c r="BU61"/>
  <c r="BQ61"/>
  <c r="BR61" s="1"/>
  <c r="BP61"/>
  <c r="BP62" s="1"/>
  <c r="BU60"/>
  <c r="BQ60"/>
  <c r="BR60" s="1"/>
  <c r="BP60"/>
  <c r="BT59"/>
  <c r="BS59"/>
  <c r="BU58"/>
  <c r="BQ58"/>
  <c r="BR58" s="1"/>
  <c r="BP58"/>
  <c r="BP59" s="1"/>
  <c r="BU57"/>
  <c r="BQ57"/>
  <c r="BR57" s="1"/>
  <c r="BP57"/>
  <c r="BT56"/>
  <c r="BS56"/>
  <c r="BU55"/>
  <c r="BQ55"/>
  <c r="BR55" s="1"/>
  <c r="BP55"/>
  <c r="BP56" s="1"/>
  <c r="BU54"/>
  <c r="BQ54"/>
  <c r="BR54" s="1"/>
  <c r="BP54"/>
  <c r="BT53"/>
  <c r="BS53"/>
  <c r="BU52"/>
  <c r="BQ52"/>
  <c r="BR52" s="1"/>
  <c r="BP52"/>
  <c r="BU51"/>
  <c r="BQ51"/>
  <c r="BP51"/>
  <c r="BT50"/>
  <c r="BS50"/>
  <c r="BU49"/>
  <c r="BQ49"/>
  <c r="BR49" s="1"/>
  <c r="BP49"/>
  <c r="BP50" s="1"/>
  <c r="BU48"/>
  <c r="BQ48"/>
  <c r="BR48" s="1"/>
  <c r="BP48"/>
  <c r="BT47"/>
  <c r="BS47"/>
  <c r="BU46"/>
  <c r="BQ46"/>
  <c r="BR46" s="1"/>
  <c r="BP46"/>
  <c r="BP47" s="1"/>
  <c r="BU45"/>
  <c r="BQ45"/>
  <c r="BR45" s="1"/>
  <c r="BP45"/>
  <c r="BT44"/>
  <c r="BS44"/>
  <c r="BU43"/>
  <c r="BQ43"/>
  <c r="BR43" s="1"/>
  <c r="BP43"/>
  <c r="BU42"/>
  <c r="BQ42"/>
  <c r="BP42"/>
  <c r="BT41"/>
  <c r="BS41"/>
  <c r="BU40"/>
  <c r="BQ40"/>
  <c r="BR40" s="1"/>
  <c r="BP40"/>
  <c r="BU39"/>
  <c r="BQ39"/>
  <c r="BP39"/>
  <c r="BT38"/>
  <c r="BS38"/>
  <c r="BU37"/>
  <c r="BQ37"/>
  <c r="BP37"/>
  <c r="BU36"/>
  <c r="BQ36"/>
  <c r="BP36"/>
  <c r="BT35"/>
  <c r="BS35"/>
  <c r="BU34"/>
  <c r="BQ34"/>
  <c r="BR34" s="1"/>
  <c r="BP34"/>
  <c r="BU33"/>
  <c r="BQ33"/>
  <c r="BP33"/>
  <c r="BT32"/>
  <c r="BS32"/>
  <c r="BU31"/>
  <c r="BQ31"/>
  <c r="BR31" s="1"/>
  <c r="BP31"/>
  <c r="BU30"/>
  <c r="BQ30"/>
  <c r="BP30"/>
  <c r="BT29"/>
  <c r="BS29"/>
  <c r="BU28"/>
  <c r="BQ28"/>
  <c r="BR28" s="1"/>
  <c r="BP28"/>
  <c r="BU27"/>
  <c r="BQ27"/>
  <c r="BP27"/>
  <c r="BT26"/>
  <c r="BS26"/>
  <c r="BU25"/>
  <c r="BQ25"/>
  <c r="BP25"/>
  <c r="BU24"/>
  <c r="BQ24"/>
  <c r="BP24"/>
  <c r="BT23"/>
  <c r="BS23"/>
  <c r="BU22"/>
  <c r="BQ22"/>
  <c r="BR22" s="1"/>
  <c r="BP22"/>
  <c r="BP23" s="1"/>
  <c r="BU21"/>
  <c r="BQ21"/>
  <c r="BR21" s="1"/>
  <c r="BP21"/>
  <c r="BT20"/>
  <c r="BS20"/>
  <c r="BU19"/>
  <c r="BQ19"/>
  <c r="BR19" s="1"/>
  <c r="BP19"/>
  <c r="BP20" s="1"/>
  <c r="BU18"/>
  <c r="BQ18"/>
  <c r="BR18" s="1"/>
  <c r="BP18"/>
  <c r="BT17"/>
  <c r="BS17"/>
  <c r="BU16"/>
  <c r="BQ16"/>
  <c r="BR16" s="1"/>
  <c r="BP16"/>
  <c r="BP79" s="1"/>
  <c r="BU15"/>
  <c r="BQ15"/>
  <c r="BR15" s="1"/>
  <c r="BP15"/>
  <c r="BP78" s="1"/>
  <c r="BT14"/>
  <c r="BS14"/>
  <c r="BU13"/>
  <c r="BQ13"/>
  <c r="BR13" s="1"/>
  <c r="BP13"/>
  <c r="BP14" s="1"/>
  <c r="BU12"/>
  <c r="BQ12"/>
  <c r="BR12" s="1"/>
  <c r="BP12"/>
  <c r="BT11"/>
  <c r="BS11"/>
  <c r="BU10"/>
  <c r="BQ10"/>
  <c r="BR10" s="1"/>
  <c r="BP10"/>
  <c r="BP11" s="1"/>
  <c r="BU9"/>
  <c r="BQ9"/>
  <c r="BR9" s="1"/>
  <c r="BP9"/>
  <c r="BT8"/>
  <c r="BS8"/>
  <c r="BU7"/>
  <c r="BQ7"/>
  <c r="BP7"/>
  <c r="BP8" s="1"/>
  <c r="BU6"/>
  <c r="BQ6"/>
  <c r="BR6" s="1"/>
  <c r="BP6"/>
  <c r="BT46" i="3"/>
  <c r="BS46"/>
  <c r="BT45"/>
  <c r="BS45"/>
  <c r="BT44"/>
  <c r="BS44"/>
  <c r="BU43"/>
  <c r="BQ43"/>
  <c r="BP43"/>
  <c r="BU42"/>
  <c r="BQ42"/>
  <c r="BP42"/>
  <c r="BT41"/>
  <c r="BS41"/>
  <c r="BU40"/>
  <c r="BQ40"/>
  <c r="BR40" s="1"/>
  <c r="BP40"/>
  <c r="BU39"/>
  <c r="BQ39"/>
  <c r="BP39"/>
  <c r="BT38"/>
  <c r="BS38"/>
  <c r="BU37"/>
  <c r="BQ37"/>
  <c r="BR37" s="1"/>
  <c r="BP37"/>
  <c r="BU36"/>
  <c r="BQ36"/>
  <c r="BP36"/>
  <c r="BT35"/>
  <c r="BS35"/>
  <c r="BU34"/>
  <c r="BQ34"/>
  <c r="BR34" s="1"/>
  <c r="BP34"/>
  <c r="BP35" s="1"/>
  <c r="BU33"/>
  <c r="BQ33"/>
  <c r="BR33" s="1"/>
  <c r="BP33"/>
  <c r="BT32"/>
  <c r="BS32"/>
  <c r="BU31"/>
  <c r="BQ31"/>
  <c r="BP31"/>
  <c r="BU30"/>
  <c r="BQ30"/>
  <c r="BP30"/>
  <c r="BT29"/>
  <c r="BS29"/>
  <c r="BU28"/>
  <c r="BQ28"/>
  <c r="BR28" s="1"/>
  <c r="BP28"/>
  <c r="BU27"/>
  <c r="BQ27"/>
  <c r="BP27"/>
  <c r="BT26"/>
  <c r="BS26"/>
  <c r="BU25"/>
  <c r="BQ25"/>
  <c r="BR25" s="1"/>
  <c r="BP25"/>
  <c r="BP26" s="1"/>
  <c r="BU24"/>
  <c r="BQ24"/>
  <c r="BR24" s="1"/>
  <c r="BP24"/>
  <c r="BT23"/>
  <c r="BS23"/>
  <c r="BU22"/>
  <c r="BQ22"/>
  <c r="BR22" s="1"/>
  <c r="BP22"/>
  <c r="BU21"/>
  <c r="BQ21"/>
  <c r="BP21"/>
  <c r="BT20"/>
  <c r="BS20"/>
  <c r="BU19"/>
  <c r="BQ19"/>
  <c r="BP19"/>
  <c r="BU18"/>
  <c r="BQ18"/>
  <c r="BP18"/>
  <c r="BT17"/>
  <c r="BS17"/>
  <c r="BU16"/>
  <c r="BQ16"/>
  <c r="BP16"/>
  <c r="BU15"/>
  <c r="BQ15"/>
  <c r="BP15"/>
  <c r="BT14"/>
  <c r="BS14"/>
  <c r="BU13"/>
  <c r="BQ13"/>
  <c r="BP13"/>
  <c r="BU12"/>
  <c r="BQ12"/>
  <c r="BP12"/>
  <c r="BT11"/>
  <c r="BS11"/>
  <c r="BU10"/>
  <c r="BQ10"/>
  <c r="BP10"/>
  <c r="BU9"/>
  <c r="BQ9"/>
  <c r="BP9"/>
  <c r="BT8"/>
  <c r="BS8"/>
  <c r="BU7"/>
  <c r="BQ7"/>
  <c r="BP7"/>
  <c r="BU6"/>
  <c r="BQ6"/>
  <c r="BP6"/>
  <c r="BP45" s="1"/>
  <c r="BT46" i="4"/>
  <c r="BS46"/>
  <c r="BT45"/>
  <c r="BS45"/>
  <c r="BS47" s="1"/>
  <c r="BT44"/>
  <c r="BS44"/>
  <c r="BU43"/>
  <c r="BQ43"/>
  <c r="BP43"/>
  <c r="BP44" s="1"/>
  <c r="BU42"/>
  <c r="BQ42"/>
  <c r="BP42"/>
  <c r="BT41"/>
  <c r="BS41"/>
  <c r="BU40"/>
  <c r="BQ40"/>
  <c r="BP40"/>
  <c r="BU39"/>
  <c r="BQ39"/>
  <c r="BP39"/>
  <c r="BT38"/>
  <c r="BS38"/>
  <c r="BU37"/>
  <c r="BQ37"/>
  <c r="BP37"/>
  <c r="BP38" s="1"/>
  <c r="BU36"/>
  <c r="BQ36"/>
  <c r="BP36"/>
  <c r="BT35"/>
  <c r="BS35"/>
  <c r="BU34"/>
  <c r="BQ34"/>
  <c r="BQ35" s="1"/>
  <c r="BP34"/>
  <c r="BP35" s="1"/>
  <c r="BU33"/>
  <c r="BQ33"/>
  <c r="BP33"/>
  <c r="BR33" s="1"/>
  <c r="BT32"/>
  <c r="BS32"/>
  <c r="BU31"/>
  <c r="BR31"/>
  <c r="BQ31"/>
  <c r="BQ32" s="1"/>
  <c r="BP31"/>
  <c r="BP32" s="1"/>
  <c r="BU30"/>
  <c r="BQ30"/>
  <c r="BP30"/>
  <c r="BR30" s="1"/>
  <c r="BT29"/>
  <c r="BS29"/>
  <c r="BU28"/>
  <c r="BQ28"/>
  <c r="BQ29" s="1"/>
  <c r="BP28"/>
  <c r="BP29" s="1"/>
  <c r="BU27"/>
  <c r="BQ27"/>
  <c r="BP27"/>
  <c r="BR27" s="1"/>
  <c r="BT26"/>
  <c r="BS26"/>
  <c r="BU25"/>
  <c r="BQ25"/>
  <c r="BP25"/>
  <c r="BU24"/>
  <c r="BQ24"/>
  <c r="BP24"/>
  <c r="BR24" s="1"/>
  <c r="BT23"/>
  <c r="BS23"/>
  <c r="BU22"/>
  <c r="BQ22"/>
  <c r="BP22"/>
  <c r="BU21"/>
  <c r="BQ21"/>
  <c r="BP21"/>
  <c r="BR21" s="1"/>
  <c r="BT20"/>
  <c r="BS20"/>
  <c r="BU19"/>
  <c r="BQ19"/>
  <c r="BQ20" s="1"/>
  <c r="BP19"/>
  <c r="BU18"/>
  <c r="BQ18"/>
  <c r="BP18"/>
  <c r="BR18" s="1"/>
  <c r="BT17"/>
  <c r="BS17"/>
  <c r="BU16"/>
  <c r="BQ16"/>
  <c r="BP16"/>
  <c r="BU15"/>
  <c r="BQ15"/>
  <c r="BP15"/>
  <c r="BR15" s="1"/>
  <c r="BT14"/>
  <c r="BS14"/>
  <c r="BU13"/>
  <c r="BQ13"/>
  <c r="BQ14" s="1"/>
  <c r="BP13"/>
  <c r="BP14" s="1"/>
  <c r="BU12"/>
  <c r="BQ12"/>
  <c r="BP12"/>
  <c r="BR12" s="1"/>
  <c r="BT11"/>
  <c r="BS11"/>
  <c r="BU10"/>
  <c r="BQ10"/>
  <c r="BQ11" s="1"/>
  <c r="BP10"/>
  <c r="BP11" s="1"/>
  <c r="BU9"/>
  <c r="BQ9"/>
  <c r="BP9"/>
  <c r="BR9" s="1"/>
  <c r="BT8"/>
  <c r="BS8"/>
  <c r="BU7"/>
  <c r="BQ7"/>
  <c r="BP7"/>
  <c r="BP46" s="1"/>
  <c r="BU6"/>
  <c r="BQ6"/>
  <c r="BQ45" s="1"/>
  <c r="BP6"/>
  <c r="BN64" i="1"/>
  <c r="BN61"/>
  <c r="BN49" i="2"/>
  <c r="BM49" i="1"/>
  <c r="BM70"/>
  <c r="BM71" s="1"/>
  <c r="BM69"/>
  <c r="BM67"/>
  <c r="BM66"/>
  <c r="BM64"/>
  <c r="BM63"/>
  <c r="BM61"/>
  <c r="BM60"/>
  <c r="BM58"/>
  <c r="BM57"/>
  <c r="BM55"/>
  <c r="BM54"/>
  <c r="BM52"/>
  <c r="BM51"/>
  <c r="BM48"/>
  <c r="BM70" i="2"/>
  <c r="BM64"/>
  <c r="BM61"/>
  <c r="BM55"/>
  <c r="BM49"/>
  <c r="BM48"/>
  <c r="BN75" i="1"/>
  <c r="BN74"/>
  <c r="BM74"/>
  <c r="BO73"/>
  <c r="BK73"/>
  <c r="BK74" s="1"/>
  <c r="BJ73"/>
  <c r="BO72"/>
  <c r="BK72"/>
  <c r="BJ72"/>
  <c r="BL72" s="1"/>
  <c r="BN71"/>
  <c r="BJ70"/>
  <c r="BO69"/>
  <c r="BK69"/>
  <c r="BJ69"/>
  <c r="BL69" s="1"/>
  <c r="BN68"/>
  <c r="BJ67"/>
  <c r="BO66"/>
  <c r="BK66"/>
  <c r="BN65"/>
  <c r="BM65"/>
  <c r="BK64"/>
  <c r="BO63"/>
  <c r="BK63"/>
  <c r="BJ63"/>
  <c r="BL63" s="1"/>
  <c r="BN62"/>
  <c r="BJ61"/>
  <c r="BO60"/>
  <c r="BK60"/>
  <c r="BN59"/>
  <c r="BM59"/>
  <c r="BK58"/>
  <c r="BO57"/>
  <c r="BK57"/>
  <c r="BJ57"/>
  <c r="BL57" s="1"/>
  <c r="BN56"/>
  <c r="BJ55"/>
  <c r="BO54"/>
  <c r="BK54"/>
  <c r="BN53"/>
  <c r="BM53"/>
  <c r="BK52"/>
  <c r="BO51"/>
  <c r="BK51"/>
  <c r="BJ51"/>
  <c r="BL51" s="1"/>
  <c r="BN76"/>
  <c r="BJ49"/>
  <c r="BK48"/>
  <c r="BN47"/>
  <c r="BM47"/>
  <c r="BO46"/>
  <c r="BK46"/>
  <c r="BJ46"/>
  <c r="BJ47" s="1"/>
  <c r="BO45"/>
  <c r="BK45"/>
  <c r="BL45" s="1"/>
  <c r="BJ45"/>
  <c r="BN44"/>
  <c r="BM44"/>
  <c r="BO43"/>
  <c r="BK43"/>
  <c r="BJ43"/>
  <c r="BJ44" s="1"/>
  <c r="BO42"/>
  <c r="BK42"/>
  <c r="BL42" s="1"/>
  <c r="BJ42"/>
  <c r="BN41"/>
  <c r="BM41"/>
  <c r="BO40"/>
  <c r="BK40"/>
  <c r="BJ40"/>
  <c r="BJ41" s="1"/>
  <c r="BO39"/>
  <c r="BK39"/>
  <c r="BL39" s="1"/>
  <c r="BJ39"/>
  <c r="BN38"/>
  <c r="BM38"/>
  <c r="BO37"/>
  <c r="BK37"/>
  <c r="BJ37"/>
  <c r="BO36"/>
  <c r="BK36"/>
  <c r="BJ36"/>
  <c r="BN35"/>
  <c r="BM35"/>
  <c r="BO34"/>
  <c r="BK34"/>
  <c r="BJ34"/>
  <c r="BO33"/>
  <c r="BK33"/>
  <c r="BJ33"/>
  <c r="BN32"/>
  <c r="BM32"/>
  <c r="BO31"/>
  <c r="BK31"/>
  <c r="BJ31"/>
  <c r="BO30"/>
  <c r="BK30"/>
  <c r="BJ30"/>
  <c r="BN29"/>
  <c r="BM29"/>
  <c r="BO28"/>
  <c r="BK28"/>
  <c r="BJ28"/>
  <c r="BO27"/>
  <c r="BK27"/>
  <c r="BJ27"/>
  <c r="BN26"/>
  <c r="BM26"/>
  <c r="BO25"/>
  <c r="BK25"/>
  <c r="BJ25"/>
  <c r="BO24"/>
  <c r="BK24"/>
  <c r="BJ24"/>
  <c r="BN23"/>
  <c r="BM23"/>
  <c r="BO22"/>
  <c r="BK22"/>
  <c r="BJ22"/>
  <c r="BJ23" s="1"/>
  <c r="BO21"/>
  <c r="BK21"/>
  <c r="BL21" s="1"/>
  <c r="BJ21"/>
  <c r="BN20"/>
  <c r="BM20"/>
  <c r="BO19"/>
  <c r="BK19"/>
  <c r="BJ19"/>
  <c r="BO18"/>
  <c r="BK18"/>
  <c r="BJ18"/>
  <c r="BN17"/>
  <c r="BM17"/>
  <c r="BO16"/>
  <c r="BK16"/>
  <c r="BJ16"/>
  <c r="BO15"/>
  <c r="BK15"/>
  <c r="BJ15"/>
  <c r="BN14"/>
  <c r="BM14"/>
  <c r="BO13"/>
  <c r="BK13"/>
  <c r="BJ13"/>
  <c r="BO12"/>
  <c r="BK12"/>
  <c r="BJ12"/>
  <c r="BN11"/>
  <c r="BM11"/>
  <c r="BO10"/>
  <c r="BK10"/>
  <c r="BJ10"/>
  <c r="BO9"/>
  <c r="BK9"/>
  <c r="BJ9"/>
  <c r="BN8"/>
  <c r="BM8"/>
  <c r="BO7"/>
  <c r="BK7"/>
  <c r="BJ7"/>
  <c r="BO6"/>
  <c r="BK6"/>
  <c r="BJ6"/>
  <c r="BN75" i="2"/>
  <c r="BN74"/>
  <c r="BM74"/>
  <c r="BO73"/>
  <c r="BK73"/>
  <c r="BK74" s="1"/>
  <c r="BJ73"/>
  <c r="BO72"/>
  <c r="BK72"/>
  <c r="BJ72"/>
  <c r="BN71"/>
  <c r="BM71"/>
  <c r="BK70"/>
  <c r="BJ70"/>
  <c r="BO69"/>
  <c r="BK69"/>
  <c r="BL69" s="1"/>
  <c r="BJ69"/>
  <c r="BN68"/>
  <c r="BM68"/>
  <c r="BO67"/>
  <c r="BK67"/>
  <c r="BK68" s="1"/>
  <c r="BJ67"/>
  <c r="BJ68" s="1"/>
  <c r="BO66"/>
  <c r="BK66"/>
  <c r="BL66" s="1"/>
  <c r="BJ66"/>
  <c r="BN65"/>
  <c r="BO64"/>
  <c r="BK64"/>
  <c r="BK65" s="1"/>
  <c r="BO63"/>
  <c r="BK63"/>
  <c r="BJ63"/>
  <c r="BL63" s="1"/>
  <c r="BM62"/>
  <c r="BN62"/>
  <c r="BJ61"/>
  <c r="BO60"/>
  <c r="BK60"/>
  <c r="BJ60"/>
  <c r="BL60" s="1"/>
  <c r="BN59"/>
  <c r="BM59"/>
  <c r="BO58"/>
  <c r="BK58"/>
  <c r="BK59" s="1"/>
  <c r="BJ58"/>
  <c r="BJ59" s="1"/>
  <c r="BO57"/>
  <c r="BK57"/>
  <c r="BJ57"/>
  <c r="BL57" s="1"/>
  <c r="BM56"/>
  <c r="BN56"/>
  <c r="BJ55"/>
  <c r="BO54"/>
  <c r="BK54"/>
  <c r="BJ54"/>
  <c r="BL54" s="1"/>
  <c r="BN53"/>
  <c r="BM53"/>
  <c r="BO52"/>
  <c r="BK52"/>
  <c r="BK53" s="1"/>
  <c r="BJ52"/>
  <c r="BJ53" s="1"/>
  <c r="BO51"/>
  <c r="BK51"/>
  <c r="BJ51"/>
  <c r="BL51" s="1"/>
  <c r="BN76"/>
  <c r="BJ49"/>
  <c r="BK48"/>
  <c r="BN47"/>
  <c r="BM47"/>
  <c r="BO46"/>
  <c r="BK46"/>
  <c r="BK47" s="1"/>
  <c r="BJ46"/>
  <c r="BJ47" s="1"/>
  <c r="BO45"/>
  <c r="BK45"/>
  <c r="BL45" s="1"/>
  <c r="BJ45"/>
  <c r="BN44"/>
  <c r="BM44"/>
  <c r="BO43"/>
  <c r="BK43"/>
  <c r="BJ43"/>
  <c r="BJ44" s="1"/>
  <c r="BO42"/>
  <c r="BK42"/>
  <c r="BL42" s="1"/>
  <c r="BJ42"/>
  <c r="BN41"/>
  <c r="BM41"/>
  <c r="BO40"/>
  <c r="BK40"/>
  <c r="BJ40"/>
  <c r="BJ41" s="1"/>
  <c r="BO39"/>
  <c r="BK39"/>
  <c r="BL39" s="1"/>
  <c r="BJ39"/>
  <c r="BN38"/>
  <c r="BM38"/>
  <c r="BO37"/>
  <c r="BK37"/>
  <c r="BJ37"/>
  <c r="BO36"/>
  <c r="BK36"/>
  <c r="BJ36"/>
  <c r="BN35"/>
  <c r="BM35"/>
  <c r="BO34"/>
  <c r="BK34"/>
  <c r="BJ34"/>
  <c r="BO33"/>
  <c r="BK33"/>
  <c r="BJ33"/>
  <c r="BN32"/>
  <c r="BM32"/>
  <c r="BO31"/>
  <c r="BK31"/>
  <c r="BJ31"/>
  <c r="BO30"/>
  <c r="BK30"/>
  <c r="BJ30"/>
  <c r="BN29"/>
  <c r="BM29"/>
  <c r="BO28"/>
  <c r="BK28"/>
  <c r="BJ28"/>
  <c r="BO27"/>
  <c r="BK27"/>
  <c r="BJ27"/>
  <c r="BN26"/>
  <c r="BM26"/>
  <c r="BO25"/>
  <c r="BK25"/>
  <c r="BJ25"/>
  <c r="BO24"/>
  <c r="BK24"/>
  <c r="BJ24"/>
  <c r="BN23"/>
  <c r="BM23"/>
  <c r="BO22"/>
  <c r="BK22"/>
  <c r="BJ22"/>
  <c r="BO21"/>
  <c r="BK21"/>
  <c r="BJ21"/>
  <c r="BN20"/>
  <c r="BM20"/>
  <c r="BO19"/>
  <c r="BK19"/>
  <c r="BJ19"/>
  <c r="BO18"/>
  <c r="BK18"/>
  <c r="BJ18"/>
  <c r="BN17"/>
  <c r="BM17"/>
  <c r="BO16"/>
  <c r="BK16"/>
  <c r="BJ16"/>
  <c r="BO15"/>
  <c r="BK15"/>
  <c r="BJ15"/>
  <c r="BN14"/>
  <c r="BM14"/>
  <c r="BO13"/>
  <c r="BK13"/>
  <c r="BJ13"/>
  <c r="BO12"/>
  <c r="BK12"/>
  <c r="BJ12"/>
  <c r="BN11"/>
  <c r="BM11"/>
  <c r="BO10"/>
  <c r="BK10"/>
  <c r="BJ10"/>
  <c r="BO9"/>
  <c r="BK9"/>
  <c r="BJ9"/>
  <c r="BN8"/>
  <c r="BM8"/>
  <c r="BO7"/>
  <c r="BK7"/>
  <c r="BJ7"/>
  <c r="BO6"/>
  <c r="BK6"/>
  <c r="BK75" s="1"/>
  <c r="BJ6"/>
  <c r="BN79" i="5"/>
  <c r="BM79"/>
  <c r="BN78"/>
  <c r="BM78"/>
  <c r="BN77"/>
  <c r="BM77"/>
  <c r="BO76"/>
  <c r="BK76"/>
  <c r="BL76" s="1"/>
  <c r="BJ76"/>
  <c r="BO75"/>
  <c r="BK75"/>
  <c r="BJ75"/>
  <c r="BN74"/>
  <c r="BM74"/>
  <c r="BO73"/>
  <c r="BK73"/>
  <c r="BJ73"/>
  <c r="BO72"/>
  <c r="BK72"/>
  <c r="BJ72"/>
  <c r="BN71"/>
  <c r="BM71"/>
  <c r="BO70"/>
  <c r="BK70"/>
  <c r="BJ70"/>
  <c r="BJ71" s="1"/>
  <c r="BO69"/>
  <c r="BK69"/>
  <c r="BL69" s="1"/>
  <c r="BJ69"/>
  <c r="BN68"/>
  <c r="BM68"/>
  <c r="BO67"/>
  <c r="BK67"/>
  <c r="BL67" s="1"/>
  <c r="BJ67"/>
  <c r="BO66"/>
  <c r="BK66"/>
  <c r="BJ66"/>
  <c r="BN65"/>
  <c r="BM65"/>
  <c r="BO64"/>
  <c r="BK64"/>
  <c r="BL64" s="1"/>
  <c r="BJ64"/>
  <c r="BO63"/>
  <c r="BK63"/>
  <c r="BJ63"/>
  <c r="BN62"/>
  <c r="BM62"/>
  <c r="BO61"/>
  <c r="BK61"/>
  <c r="BL61" s="1"/>
  <c r="BJ61"/>
  <c r="BO60"/>
  <c r="BK60"/>
  <c r="BJ60"/>
  <c r="BN59"/>
  <c r="BM59"/>
  <c r="BO58"/>
  <c r="BK58"/>
  <c r="BL58" s="1"/>
  <c r="BJ58"/>
  <c r="BO57"/>
  <c r="BK57"/>
  <c r="BJ57"/>
  <c r="BN56"/>
  <c r="BM56"/>
  <c r="BO55"/>
  <c r="BK55"/>
  <c r="BL55" s="1"/>
  <c r="BJ55"/>
  <c r="BO54"/>
  <c r="BK54"/>
  <c r="BJ54"/>
  <c r="BN53"/>
  <c r="BM53"/>
  <c r="BO52"/>
  <c r="BK52"/>
  <c r="BL52" s="1"/>
  <c r="BJ52"/>
  <c r="BO51"/>
  <c r="BK51"/>
  <c r="BJ51"/>
  <c r="BN50"/>
  <c r="BM50"/>
  <c r="BO49"/>
  <c r="BK49"/>
  <c r="BJ49"/>
  <c r="BO48"/>
  <c r="BK48"/>
  <c r="BJ48"/>
  <c r="BN47"/>
  <c r="BM47"/>
  <c r="BO46"/>
  <c r="BK46"/>
  <c r="BL46" s="1"/>
  <c r="BJ46"/>
  <c r="BO45"/>
  <c r="BK45"/>
  <c r="BJ45"/>
  <c r="BN44"/>
  <c r="BM44"/>
  <c r="BO43"/>
  <c r="BK43"/>
  <c r="BL43" s="1"/>
  <c r="BJ43"/>
  <c r="BO42"/>
  <c r="BK42"/>
  <c r="BJ42"/>
  <c r="BN41"/>
  <c r="BM41"/>
  <c r="BO40"/>
  <c r="BK40"/>
  <c r="BL40" s="1"/>
  <c r="BJ40"/>
  <c r="BO39"/>
  <c r="BK39"/>
  <c r="BJ39"/>
  <c r="BN38"/>
  <c r="BM38"/>
  <c r="BO37"/>
  <c r="BK37"/>
  <c r="BL37" s="1"/>
  <c r="BJ37"/>
  <c r="BO36"/>
  <c r="BK36"/>
  <c r="BJ36"/>
  <c r="BN35"/>
  <c r="BM35"/>
  <c r="BO34"/>
  <c r="BK34"/>
  <c r="BJ34"/>
  <c r="BO33"/>
  <c r="BK33"/>
  <c r="BJ33"/>
  <c r="BN32"/>
  <c r="BM32"/>
  <c r="BO31"/>
  <c r="BK31"/>
  <c r="BL31" s="1"/>
  <c r="BJ31"/>
  <c r="BO30"/>
  <c r="BK30"/>
  <c r="BJ30"/>
  <c r="BN29"/>
  <c r="BM29"/>
  <c r="BO28"/>
  <c r="BK28"/>
  <c r="BL28" s="1"/>
  <c r="BJ28"/>
  <c r="BO27"/>
  <c r="BK27"/>
  <c r="BJ27"/>
  <c r="BN26"/>
  <c r="BM26"/>
  <c r="BO25"/>
  <c r="BK25"/>
  <c r="BJ25"/>
  <c r="BO24"/>
  <c r="BK24"/>
  <c r="BJ24"/>
  <c r="BN23"/>
  <c r="BM23"/>
  <c r="BO22"/>
  <c r="BK22"/>
  <c r="BJ22"/>
  <c r="BJ23" s="1"/>
  <c r="BO21"/>
  <c r="BK21"/>
  <c r="BL21" s="1"/>
  <c r="BJ21"/>
  <c r="BN20"/>
  <c r="BM20"/>
  <c r="BO19"/>
  <c r="BK19"/>
  <c r="BJ19"/>
  <c r="BO18"/>
  <c r="BK18"/>
  <c r="BJ18"/>
  <c r="BN17"/>
  <c r="BM17"/>
  <c r="BO16"/>
  <c r="BK16"/>
  <c r="BL16" s="1"/>
  <c r="BJ16"/>
  <c r="BJ17" s="1"/>
  <c r="BO15"/>
  <c r="BK15"/>
  <c r="BL15" s="1"/>
  <c r="BJ15"/>
  <c r="BN14"/>
  <c r="BM14"/>
  <c r="BO13"/>
  <c r="BK13"/>
  <c r="BJ13"/>
  <c r="BO12"/>
  <c r="BK12"/>
  <c r="BJ12"/>
  <c r="BN11"/>
  <c r="BM11"/>
  <c r="BO10"/>
  <c r="BK10"/>
  <c r="BJ10"/>
  <c r="BO9"/>
  <c r="BK9"/>
  <c r="BJ9"/>
  <c r="BN8"/>
  <c r="BM8"/>
  <c r="BO7"/>
  <c r="BK7"/>
  <c r="BJ7"/>
  <c r="BJ79" s="1"/>
  <c r="BO6"/>
  <c r="BK6"/>
  <c r="BJ6"/>
  <c r="BJ78" s="1"/>
  <c r="BN79" i="6"/>
  <c r="BM79"/>
  <c r="BN78"/>
  <c r="BM78"/>
  <c r="BN77"/>
  <c r="BM77"/>
  <c r="BO76"/>
  <c r="BK76"/>
  <c r="BL76" s="1"/>
  <c r="BJ76"/>
  <c r="BO75"/>
  <c r="BK75"/>
  <c r="BJ75"/>
  <c r="BN74"/>
  <c r="BM74"/>
  <c r="BO73"/>
  <c r="BK73"/>
  <c r="BL73" s="1"/>
  <c r="BJ73"/>
  <c r="BO72"/>
  <c r="BK72"/>
  <c r="BJ72"/>
  <c r="BN71"/>
  <c r="BM71"/>
  <c r="BO70"/>
  <c r="BK70"/>
  <c r="BL70" s="1"/>
  <c r="BJ70"/>
  <c r="BJ71" s="1"/>
  <c r="BO69"/>
  <c r="BK69"/>
  <c r="BL69" s="1"/>
  <c r="BJ69"/>
  <c r="BN68"/>
  <c r="BM68"/>
  <c r="BO67"/>
  <c r="BK67"/>
  <c r="BL67" s="1"/>
  <c r="BJ67"/>
  <c r="BO66"/>
  <c r="BK66"/>
  <c r="BJ66"/>
  <c r="BN65"/>
  <c r="BM65"/>
  <c r="BO64"/>
  <c r="BK64"/>
  <c r="BL64" s="1"/>
  <c r="BJ64"/>
  <c r="BO63"/>
  <c r="BK63"/>
  <c r="BJ63"/>
  <c r="BN62"/>
  <c r="BM62"/>
  <c r="BO61"/>
  <c r="BK61"/>
  <c r="BL61" s="1"/>
  <c r="BJ61"/>
  <c r="BO60"/>
  <c r="BK60"/>
  <c r="BJ60"/>
  <c r="BN59"/>
  <c r="BM59"/>
  <c r="BO58"/>
  <c r="BK58"/>
  <c r="BL58" s="1"/>
  <c r="BJ58"/>
  <c r="BO57"/>
  <c r="BK57"/>
  <c r="BJ57"/>
  <c r="BN56"/>
  <c r="BM56"/>
  <c r="BO55"/>
  <c r="BK55"/>
  <c r="BL55" s="1"/>
  <c r="BJ55"/>
  <c r="BO54"/>
  <c r="BK54"/>
  <c r="BJ54"/>
  <c r="BN53"/>
  <c r="BM53"/>
  <c r="BO52"/>
  <c r="BK52"/>
  <c r="BL52" s="1"/>
  <c r="BJ52"/>
  <c r="BJ53" s="1"/>
  <c r="BO51"/>
  <c r="BK51"/>
  <c r="BL51" s="1"/>
  <c r="BJ51"/>
  <c r="BN50"/>
  <c r="BM50"/>
  <c r="BO49"/>
  <c r="BK49"/>
  <c r="BL49" s="1"/>
  <c r="BJ49"/>
  <c r="BJ50" s="1"/>
  <c r="BO48"/>
  <c r="BK48"/>
  <c r="BL48" s="1"/>
  <c r="BJ48"/>
  <c r="BN47"/>
  <c r="BM47"/>
  <c r="BO46"/>
  <c r="BK46"/>
  <c r="BL46" s="1"/>
  <c r="BJ46"/>
  <c r="BO45"/>
  <c r="BK45"/>
  <c r="BJ45"/>
  <c r="BN44"/>
  <c r="BM44"/>
  <c r="BO43"/>
  <c r="BK43"/>
  <c r="BL43" s="1"/>
  <c r="BJ43"/>
  <c r="BO42"/>
  <c r="BK42"/>
  <c r="BJ42"/>
  <c r="BN41"/>
  <c r="BM41"/>
  <c r="BO40"/>
  <c r="BK40"/>
  <c r="BJ40"/>
  <c r="BO39"/>
  <c r="BK39"/>
  <c r="BJ39"/>
  <c r="BN38"/>
  <c r="BM38"/>
  <c r="BO37"/>
  <c r="BK37"/>
  <c r="BL37" s="1"/>
  <c r="BJ37"/>
  <c r="BO36"/>
  <c r="BK36"/>
  <c r="BJ36"/>
  <c r="BN35"/>
  <c r="BM35"/>
  <c r="BO34"/>
  <c r="BK34"/>
  <c r="BL34" s="1"/>
  <c r="BJ34"/>
  <c r="BO33"/>
  <c r="BK33"/>
  <c r="BJ33"/>
  <c r="BN32"/>
  <c r="BM32"/>
  <c r="BO31"/>
  <c r="BK31"/>
  <c r="BJ31"/>
  <c r="BO30"/>
  <c r="BK30"/>
  <c r="BJ30"/>
  <c r="BN29"/>
  <c r="BM29"/>
  <c r="BO28"/>
  <c r="BK28"/>
  <c r="BL28" s="1"/>
  <c r="BJ28"/>
  <c r="BO27"/>
  <c r="BK27"/>
  <c r="BJ27"/>
  <c r="BN26"/>
  <c r="BM26"/>
  <c r="BO25"/>
  <c r="BK25"/>
  <c r="BJ25"/>
  <c r="BO24"/>
  <c r="BK24"/>
  <c r="BJ24"/>
  <c r="BN23"/>
  <c r="BM23"/>
  <c r="BO22"/>
  <c r="BK22"/>
  <c r="BL22" s="1"/>
  <c r="BJ22"/>
  <c r="BJ23" s="1"/>
  <c r="BO21"/>
  <c r="BK21"/>
  <c r="BL21" s="1"/>
  <c r="BJ21"/>
  <c r="BN20"/>
  <c r="BM20"/>
  <c r="BO19"/>
  <c r="BK19"/>
  <c r="BL19" s="1"/>
  <c r="BJ19"/>
  <c r="BJ20" s="1"/>
  <c r="BO18"/>
  <c r="BK18"/>
  <c r="BL18" s="1"/>
  <c r="BJ18"/>
  <c r="BN17"/>
  <c r="BM17"/>
  <c r="BO16"/>
  <c r="BK16"/>
  <c r="BL16" s="1"/>
  <c r="BJ16"/>
  <c r="BJ79" s="1"/>
  <c r="BO15"/>
  <c r="BK15"/>
  <c r="BL15" s="1"/>
  <c r="BJ15"/>
  <c r="BJ78" s="1"/>
  <c r="BN14"/>
  <c r="BM14"/>
  <c r="BO13"/>
  <c r="BK13"/>
  <c r="BL13" s="1"/>
  <c r="BJ13"/>
  <c r="BJ14" s="1"/>
  <c r="BO12"/>
  <c r="BK12"/>
  <c r="BL12" s="1"/>
  <c r="BJ12"/>
  <c r="BN11"/>
  <c r="BM11"/>
  <c r="BO10"/>
  <c r="BK10"/>
  <c r="BJ10"/>
  <c r="BJ11" s="1"/>
  <c r="BO9"/>
  <c r="BK9"/>
  <c r="BL9" s="1"/>
  <c r="BJ9"/>
  <c r="BN8"/>
  <c r="BM8"/>
  <c r="BO7"/>
  <c r="BK7"/>
  <c r="BJ7"/>
  <c r="BO6"/>
  <c r="BK6"/>
  <c r="BJ6"/>
  <c r="BN46" i="3"/>
  <c r="BM46"/>
  <c r="BN45"/>
  <c r="BM45"/>
  <c r="BN44"/>
  <c r="BM44"/>
  <c r="BO43"/>
  <c r="BK43"/>
  <c r="BL43" s="1"/>
  <c r="BJ43"/>
  <c r="BJ44" s="1"/>
  <c r="BO42"/>
  <c r="BK42"/>
  <c r="BL42" s="1"/>
  <c r="BJ42"/>
  <c r="BN41"/>
  <c r="BM41"/>
  <c r="BO40"/>
  <c r="BK40"/>
  <c r="BJ40"/>
  <c r="BO39"/>
  <c r="BK39"/>
  <c r="BJ39"/>
  <c r="BN38"/>
  <c r="BM38"/>
  <c r="BO37"/>
  <c r="BK37"/>
  <c r="BJ37"/>
  <c r="BO36"/>
  <c r="BK36"/>
  <c r="BJ36"/>
  <c r="BN35"/>
  <c r="BM35"/>
  <c r="BO34"/>
  <c r="BK34"/>
  <c r="BL34" s="1"/>
  <c r="BJ34"/>
  <c r="BJ35" s="1"/>
  <c r="BO33"/>
  <c r="BK33"/>
  <c r="BL33" s="1"/>
  <c r="BJ33"/>
  <c r="BN32"/>
  <c r="BM32"/>
  <c r="BO31"/>
  <c r="BK31"/>
  <c r="BL31" s="1"/>
  <c r="BJ31"/>
  <c r="BO30"/>
  <c r="BK30"/>
  <c r="BJ30"/>
  <c r="BN29"/>
  <c r="BM29"/>
  <c r="BO28"/>
  <c r="BK28"/>
  <c r="BL28" s="1"/>
  <c r="BJ28"/>
  <c r="BO27"/>
  <c r="BK27"/>
  <c r="BJ27"/>
  <c r="BN26"/>
  <c r="BM26"/>
  <c r="BO25"/>
  <c r="BK25"/>
  <c r="BJ25"/>
  <c r="BJ26" s="1"/>
  <c r="BO24"/>
  <c r="BK24"/>
  <c r="BL24" s="1"/>
  <c r="BJ24"/>
  <c r="BN23"/>
  <c r="BM23"/>
  <c r="BO22"/>
  <c r="BK22"/>
  <c r="BJ22"/>
  <c r="BJ23" s="1"/>
  <c r="BO21"/>
  <c r="BK21"/>
  <c r="BL21" s="1"/>
  <c r="BJ21"/>
  <c r="BN20"/>
  <c r="BM20"/>
  <c r="BO19"/>
  <c r="BK19"/>
  <c r="BJ19"/>
  <c r="BO18"/>
  <c r="BK18"/>
  <c r="BL18" s="1"/>
  <c r="BJ18"/>
  <c r="BN17"/>
  <c r="BM17"/>
  <c r="BO16"/>
  <c r="BK16"/>
  <c r="BJ16"/>
  <c r="BO15"/>
  <c r="BK15"/>
  <c r="BJ15"/>
  <c r="BN14"/>
  <c r="BM14"/>
  <c r="BO13"/>
  <c r="BK13"/>
  <c r="BL13" s="1"/>
  <c r="BJ13"/>
  <c r="BJ14" s="1"/>
  <c r="BO12"/>
  <c r="BK12"/>
  <c r="BL12" s="1"/>
  <c r="BJ12"/>
  <c r="BN11"/>
  <c r="BM11"/>
  <c r="BO10"/>
  <c r="BK10"/>
  <c r="BJ10"/>
  <c r="BO9"/>
  <c r="BK9"/>
  <c r="BJ9"/>
  <c r="BN8"/>
  <c r="BM8"/>
  <c r="BO7"/>
  <c r="BK7"/>
  <c r="BJ7"/>
  <c r="BJ46" s="1"/>
  <c r="BO6"/>
  <c r="BK6"/>
  <c r="BJ6"/>
  <c r="BJ45" s="1"/>
  <c r="BN46" i="4"/>
  <c r="BM46"/>
  <c r="BN45"/>
  <c r="BM45"/>
  <c r="BN44"/>
  <c r="BM44"/>
  <c r="BO43"/>
  <c r="BK43"/>
  <c r="BL43" s="1"/>
  <c r="BJ43"/>
  <c r="BO42"/>
  <c r="BK42"/>
  <c r="BJ42"/>
  <c r="BN41"/>
  <c r="BM41"/>
  <c r="BO40"/>
  <c r="BK40"/>
  <c r="BL40" s="1"/>
  <c r="BJ40"/>
  <c r="BO39"/>
  <c r="BK39"/>
  <c r="BJ39"/>
  <c r="BN38"/>
  <c r="BM38"/>
  <c r="BO37"/>
  <c r="BK37"/>
  <c r="BL37" s="1"/>
  <c r="BJ37"/>
  <c r="BO36"/>
  <c r="BK36"/>
  <c r="BJ36"/>
  <c r="BN35"/>
  <c r="BM35"/>
  <c r="BO34"/>
  <c r="BK34"/>
  <c r="BL34" s="1"/>
  <c r="BJ34"/>
  <c r="BJ35" s="1"/>
  <c r="BO33"/>
  <c r="BK33"/>
  <c r="BL33" s="1"/>
  <c r="BJ33"/>
  <c r="BN32"/>
  <c r="BM32"/>
  <c r="BO31"/>
  <c r="BK31"/>
  <c r="BJ31"/>
  <c r="BO30"/>
  <c r="BK30"/>
  <c r="BJ30"/>
  <c r="BN29"/>
  <c r="BM29"/>
  <c r="BO28"/>
  <c r="BK28"/>
  <c r="BL28" s="1"/>
  <c r="BJ28"/>
  <c r="BJ29" s="1"/>
  <c r="BO27"/>
  <c r="BK27"/>
  <c r="BL27" s="1"/>
  <c r="BJ27"/>
  <c r="BN26"/>
  <c r="BM26"/>
  <c r="BO25"/>
  <c r="BK25"/>
  <c r="BJ25"/>
  <c r="BO24"/>
  <c r="BK24"/>
  <c r="BJ24"/>
  <c r="BN23"/>
  <c r="BM23"/>
  <c r="BO22"/>
  <c r="BK22"/>
  <c r="BJ22"/>
  <c r="BO21"/>
  <c r="BK21"/>
  <c r="BJ21"/>
  <c r="BN20"/>
  <c r="BM20"/>
  <c r="BO19"/>
  <c r="BK19"/>
  <c r="BL19" s="1"/>
  <c r="BJ19"/>
  <c r="BJ20" s="1"/>
  <c r="BO18"/>
  <c r="BK18"/>
  <c r="BL18" s="1"/>
  <c r="BJ18"/>
  <c r="BN17"/>
  <c r="BM17"/>
  <c r="BO16"/>
  <c r="BK16"/>
  <c r="BJ16"/>
  <c r="BO15"/>
  <c r="BK15"/>
  <c r="BJ15"/>
  <c r="BN14"/>
  <c r="BM14"/>
  <c r="BO13"/>
  <c r="BK13"/>
  <c r="BL13" s="1"/>
  <c r="BJ13"/>
  <c r="BJ14" s="1"/>
  <c r="BO12"/>
  <c r="BK12"/>
  <c r="BL12" s="1"/>
  <c r="BJ12"/>
  <c r="BN11"/>
  <c r="BM11"/>
  <c r="BO10"/>
  <c r="BK10"/>
  <c r="BL10" s="1"/>
  <c r="BJ10"/>
  <c r="BJ11" s="1"/>
  <c r="BO9"/>
  <c r="BK9"/>
  <c r="BL9" s="1"/>
  <c r="BJ9"/>
  <c r="BN8"/>
  <c r="BM8"/>
  <c r="BO7"/>
  <c r="BK7"/>
  <c r="BJ7"/>
  <c r="BJ46" s="1"/>
  <c r="BO6"/>
  <c r="BK6"/>
  <c r="BJ6"/>
  <c r="BJ45" s="1"/>
  <c r="BH70" i="1"/>
  <c r="BH67"/>
  <c r="BH64"/>
  <c r="BH61"/>
  <c r="BH58"/>
  <c r="BH55"/>
  <c r="BH52"/>
  <c r="BH49"/>
  <c r="BH70" i="2"/>
  <c r="BH64"/>
  <c r="BH61"/>
  <c r="BH55"/>
  <c r="BH49"/>
  <c r="BG70" i="1"/>
  <c r="BG69"/>
  <c r="BG67"/>
  <c r="BG66"/>
  <c r="BG64"/>
  <c r="BG63"/>
  <c r="BG61"/>
  <c r="BG60"/>
  <c r="BG58"/>
  <c r="BG57"/>
  <c r="BG55"/>
  <c r="BG54"/>
  <c r="BG52"/>
  <c r="BG51"/>
  <c r="BG49"/>
  <c r="BG48"/>
  <c r="BG63" i="2"/>
  <c r="BG70"/>
  <c r="BG69"/>
  <c r="BG64"/>
  <c r="BG61"/>
  <c r="BG55"/>
  <c r="BX51" i="1" l="1"/>
  <c r="BX43"/>
  <c r="BV44"/>
  <c r="BX40"/>
  <c r="BX73"/>
  <c r="BX72"/>
  <c r="BV74"/>
  <c r="BX37"/>
  <c r="BX36"/>
  <c r="BV38"/>
  <c r="BX34"/>
  <c r="BX33"/>
  <c r="BV35"/>
  <c r="BX31"/>
  <c r="BX30"/>
  <c r="BV32"/>
  <c r="BX28"/>
  <c r="BX27"/>
  <c r="BV29"/>
  <c r="BX25"/>
  <c r="BX24"/>
  <c r="BV26"/>
  <c r="BX22"/>
  <c r="BX21"/>
  <c r="BV23"/>
  <c r="BX19"/>
  <c r="BX18"/>
  <c r="BV20"/>
  <c r="BX16"/>
  <c r="BX15"/>
  <c r="BV17"/>
  <c r="BX13"/>
  <c r="BX12"/>
  <c r="BV14"/>
  <c r="BX10"/>
  <c r="BX9"/>
  <c r="BV11"/>
  <c r="BX7"/>
  <c r="BX6"/>
  <c r="BX76" i="2"/>
  <c r="BX79" i="5"/>
  <c r="BW80"/>
  <c r="BX79" i="6"/>
  <c r="BW80"/>
  <c r="BZ47" i="3"/>
  <c r="BZ47" i="4"/>
  <c r="BX40" i="3"/>
  <c r="BX39"/>
  <c r="BV41"/>
  <c r="BX36"/>
  <c r="BV38"/>
  <c r="BX31"/>
  <c r="BX30"/>
  <c r="BV32"/>
  <c r="BX27"/>
  <c r="BV29"/>
  <c r="BX25"/>
  <c r="BX24"/>
  <c r="BV26"/>
  <c r="BX21"/>
  <c r="BV23"/>
  <c r="BX18"/>
  <c r="BV20"/>
  <c r="BX16"/>
  <c r="BX15"/>
  <c r="BV17"/>
  <c r="BX10"/>
  <c r="BX9"/>
  <c r="BV11"/>
  <c r="BX6"/>
  <c r="BV47"/>
  <c r="CA45"/>
  <c r="BY47"/>
  <c r="BX39" i="4"/>
  <c r="BV41"/>
  <c r="BX36"/>
  <c r="BV38"/>
  <c r="BX30"/>
  <c r="BV32"/>
  <c r="BX24"/>
  <c r="BV26"/>
  <c r="BX21"/>
  <c r="BV23"/>
  <c r="BX16"/>
  <c r="BX15"/>
  <c r="BV17"/>
  <c r="BX9"/>
  <c r="BV11"/>
  <c r="BX6"/>
  <c r="BV47"/>
  <c r="CA45"/>
  <c r="BY47"/>
  <c r="BW8" i="3"/>
  <c r="BW11"/>
  <c r="BW14"/>
  <c r="BW17"/>
  <c r="BW20"/>
  <c r="BW23"/>
  <c r="BW26"/>
  <c r="BW29"/>
  <c r="BW32"/>
  <c r="BW35"/>
  <c r="BW38"/>
  <c r="BW41"/>
  <c r="BW44"/>
  <c r="BW45"/>
  <c r="BX45" s="1"/>
  <c r="BW46"/>
  <c r="CA46"/>
  <c r="BV8"/>
  <c r="BW8" i="4"/>
  <c r="BW11"/>
  <c r="BW14"/>
  <c r="BW17"/>
  <c r="BW20"/>
  <c r="BW23"/>
  <c r="BW26"/>
  <c r="BW29"/>
  <c r="BW32"/>
  <c r="BW35"/>
  <c r="BW38"/>
  <c r="BW41"/>
  <c r="BW44"/>
  <c r="BW45"/>
  <c r="BX45" s="1"/>
  <c r="BW46"/>
  <c r="CA46"/>
  <c r="BV8"/>
  <c r="BZ77" i="1"/>
  <c r="BW8"/>
  <c r="BW11"/>
  <c r="BW14"/>
  <c r="BW17"/>
  <c r="BW20"/>
  <c r="BW23"/>
  <c r="BW26"/>
  <c r="BW29"/>
  <c r="BW32"/>
  <c r="BW35"/>
  <c r="BW38"/>
  <c r="BW41"/>
  <c r="BW44"/>
  <c r="BW47"/>
  <c r="BY50"/>
  <c r="CA52"/>
  <c r="BW53"/>
  <c r="BY56"/>
  <c r="CA58"/>
  <c r="BW59"/>
  <c r="BY62"/>
  <c r="CA64"/>
  <c r="BW65"/>
  <c r="BY68"/>
  <c r="CA70"/>
  <c r="BW71"/>
  <c r="BW74"/>
  <c r="BW75"/>
  <c r="BY75"/>
  <c r="BY76"/>
  <c r="BV8"/>
  <c r="BV48"/>
  <c r="CA48"/>
  <c r="BW49"/>
  <c r="CA49"/>
  <c r="BZ50"/>
  <c r="BV52"/>
  <c r="BV53" s="1"/>
  <c r="BV54"/>
  <c r="BV56" s="1"/>
  <c r="BW55"/>
  <c r="CA55"/>
  <c r="BV58"/>
  <c r="BV59" s="1"/>
  <c r="BV60"/>
  <c r="BX60" s="1"/>
  <c r="BW61"/>
  <c r="CA61"/>
  <c r="BV64"/>
  <c r="BV65" s="1"/>
  <c r="BV66"/>
  <c r="BX66" s="1"/>
  <c r="BW67"/>
  <c r="CA67"/>
  <c r="BV70"/>
  <c r="BV71" s="1"/>
  <c r="BQ71"/>
  <c r="BR60"/>
  <c r="BQ62"/>
  <c r="BQ59"/>
  <c r="BR57"/>
  <c r="BQ56"/>
  <c r="BQ53"/>
  <c r="BR51"/>
  <c r="BR48"/>
  <c r="BQ50"/>
  <c r="BQ71" i="2"/>
  <c r="BR64"/>
  <c r="BQ62"/>
  <c r="BQ56"/>
  <c r="BR55"/>
  <c r="BT94"/>
  <c r="BQ47" i="1"/>
  <c r="BQ44"/>
  <c r="BQ44" i="2"/>
  <c r="BQ41" i="1"/>
  <c r="BQ38"/>
  <c r="BQ38" i="2"/>
  <c r="BQ35"/>
  <c r="BQ32"/>
  <c r="BQ29"/>
  <c r="BQ26"/>
  <c r="BQ23"/>
  <c r="BQ20"/>
  <c r="BQ17"/>
  <c r="BQ14"/>
  <c r="BQ11"/>
  <c r="BQ8"/>
  <c r="BT80" i="5"/>
  <c r="BT80" i="6"/>
  <c r="BT47" i="3"/>
  <c r="BR42" i="4"/>
  <c r="BQ44"/>
  <c r="BQ46"/>
  <c r="BR39"/>
  <c r="BQ41"/>
  <c r="BR36"/>
  <c r="BQ38"/>
  <c r="BQ26"/>
  <c r="BQ23"/>
  <c r="BQ17"/>
  <c r="BR6"/>
  <c r="BT47"/>
  <c r="BR69" i="2"/>
  <c r="BP70"/>
  <c r="BP71" s="1"/>
  <c r="BR60"/>
  <c r="BR49"/>
  <c r="BR48"/>
  <c r="BP50"/>
  <c r="BP44" i="1"/>
  <c r="BP41"/>
  <c r="BP74"/>
  <c r="BP35"/>
  <c r="BR31"/>
  <c r="BR30"/>
  <c r="BP32"/>
  <c r="BR28"/>
  <c r="BR27"/>
  <c r="BP29"/>
  <c r="BR25"/>
  <c r="BR24"/>
  <c r="BP26"/>
  <c r="BR22"/>
  <c r="BR21"/>
  <c r="BP23"/>
  <c r="BR19"/>
  <c r="BR18"/>
  <c r="BP20"/>
  <c r="BR15"/>
  <c r="BP17"/>
  <c r="BR12"/>
  <c r="BP14"/>
  <c r="BR10"/>
  <c r="BR9"/>
  <c r="BP11"/>
  <c r="BR7"/>
  <c r="BR6"/>
  <c r="BR73" i="2"/>
  <c r="BR72"/>
  <c r="BP74"/>
  <c r="BR36"/>
  <c r="BP38"/>
  <c r="BR33"/>
  <c r="BP35"/>
  <c r="BR30"/>
  <c r="BP32"/>
  <c r="BR27"/>
  <c r="BP29"/>
  <c r="BR24"/>
  <c r="BP26"/>
  <c r="BR21"/>
  <c r="BP23"/>
  <c r="BR18"/>
  <c r="BP20"/>
  <c r="BR12"/>
  <c r="BP14"/>
  <c r="BR9"/>
  <c r="BP11"/>
  <c r="BR75"/>
  <c r="BT77" i="1"/>
  <c r="BQ8"/>
  <c r="BQ11"/>
  <c r="BQ14"/>
  <c r="BQ17"/>
  <c r="BQ20"/>
  <c r="BQ23"/>
  <c r="BQ26"/>
  <c r="BQ29"/>
  <c r="BQ32"/>
  <c r="BP49"/>
  <c r="BP50" s="1"/>
  <c r="BU49"/>
  <c r="BP52"/>
  <c r="BP53" s="1"/>
  <c r="BU52"/>
  <c r="BP55"/>
  <c r="BP56" s="1"/>
  <c r="BU55"/>
  <c r="BP58"/>
  <c r="BP59" s="1"/>
  <c r="BU58"/>
  <c r="BP61"/>
  <c r="BP62" s="1"/>
  <c r="BS62"/>
  <c r="BP63"/>
  <c r="BP75" s="1"/>
  <c r="BU63"/>
  <c r="BQ64"/>
  <c r="BU64"/>
  <c r="BP67"/>
  <c r="BP68" s="1"/>
  <c r="BU67"/>
  <c r="BP70"/>
  <c r="BP71" s="1"/>
  <c r="BU70"/>
  <c r="BQ75"/>
  <c r="BS75"/>
  <c r="BQ76"/>
  <c r="BS76"/>
  <c r="BU76" s="1"/>
  <c r="BP8"/>
  <c r="BR34"/>
  <c r="BR37"/>
  <c r="BR40"/>
  <c r="BR43"/>
  <c r="BR46"/>
  <c r="BS50"/>
  <c r="BR73"/>
  <c r="BT77" i="2"/>
  <c r="BR6"/>
  <c r="BR7"/>
  <c r="BP8"/>
  <c r="BR10"/>
  <c r="BR13"/>
  <c r="BR16"/>
  <c r="BR19"/>
  <c r="BR22"/>
  <c r="BR25"/>
  <c r="BR28"/>
  <c r="BR31"/>
  <c r="BR34"/>
  <c r="BR37"/>
  <c r="BR40"/>
  <c r="BR43"/>
  <c r="BR46"/>
  <c r="BU48"/>
  <c r="BU49"/>
  <c r="BQ50"/>
  <c r="BT50"/>
  <c r="BP56"/>
  <c r="BR58"/>
  <c r="BP61"/>
  <c r="BP62" s="1"/>
  <c r="BU61"/>
  <c r="BP65"/>
  <c r="BR67"/>
  <c r="BR70"/>
  <c r="BU70"/>
  <c r="BQ74"/>
  <c r="BS75"/>
  <c r="BQ76"/>
  <c r="BS76"/>
  <c r="BS50"/>
  <c r="BR52"/>
  <c r="BR75" i="6"/>
  <c r="BP77"/>
  <c r="BR75" i="5"/>
  <c r="BP77"/>
  <c r="BR72"/>
  <c r="BP74"/>
  <c r="BR72" i="6"/>
  <c r="BP74"/>
  <c r="BR69" i="5"/>
  <c r="BP71"/>
  <c r="BR66"/>
  <c r="BP68"/>
  <c r="BR67" i="6"/>
  <c r="BR63" i="5"/>
  <c r="BP65"/>
  <c r="BR60"/>
  <c r="BP62"/>
  <c r="BR57"/>
  <c r="BP59"/>
  <c r="BR54"/>
  <c r="BP56"/>
  <c r="BR51" i="6"/>
  <c r="BP53"/>
  <c r="BR51" i="5"/>
  <c r="BP53"/>
  <c r="BR49"/>
  <c r="BR48"/>
  <c r="BP50"/>
  <c r="BR45"/>
  <c r="BP47"/>
  <c r="BR43"/>
  <c r="BR42"/>
  <c r="BP44"/>
  <c r="BR42" i="6"/>
  <c r="BP44"/>
  <c r="BR39"/>
  <c r="BP41"/>
  <c r="BR40" i="5"/>
  <c r="BR39"/>
  <c r="BP41"/>
  <c r="BR37"/>
  <c r="BR36"/>
  <c r="BP38"/>
  <c r="BR37" i="6"/>
  <c r="BR36"/>
  <c r="BP38"/>
  <c r="BR33"/>
  <c r="BP35"/>
  <c r="BR34" i="5"/>
  <c r="BR33"/>
  <c r="BP35"/>
  <c r="BR31"/>
  <c r="BR30" i="6"/>
  <c r="BP32"/>
  <c r="BR27"/>
  <c r="BP29"/>
  <c r="BU78"/>
  <c r="BR28" i="5"/>
  <c r="BR25"/>
  <c r="BR24"/>
  <c r="BP26"/>
  <c r="BR22"/>
  <c r="BR19"/>
  <c r="BR18"/>
  <c r="BP20"/>
  <c r="BR16"/>
  <c r="BR13"/>
  <c r="BR12"/>
  <c r="BP14"/>
  <c r="BR10"/>
  <c r="BR9"/>
  <c r="BP11"/>
  <c r="BR7"/>
  <c r="BR6"/>
  <c r="BP80"/>
  <c r="BU78"/>
  <c r="BS80"/>
  <c r="BR25" i="6"/>
  <c r="BP80"/>
  <c r="BR24"/>
  <c r="BP26"/>
  <c r="BR7"/>
  <c r="BS80"/>
  <c r="BQ8" i="5"/>
  <c r="BQ11"/>
  <c r="BQ14"/>
  <c r="BQ17"/>
  <c r="BQ20"/>
  <c r="BQ23"/>
  <c r="BQ26"/>
  <c r="BQ29"/>
  <c r="BQ32"/>
  <c r="BQ35"/>
  <c r="BQ38"/>
  <c r="BQ41"/>
  <c r="BQ44"/>
  <c r="BQ47"/>
  <c r="BQ50"/>
  <c r="BQ53"/>
  <c r="BQ56"/>
  <c r="BQ59"/>
  <c r="BQ62"/>
  <c r="BQ65"/>
  <c r="BQ68"/>
  <c r="BQ71"/>
  <c r="BQ74"/>
  <c r="BQ77"/>
  <c r="BQ78"/>
  <c r="BR78" s="1"/>
  <c r="BQ79"/>
  <c r="BU79"/>
  <c r="BP8"/>
  <c r="BQ8" i="6"/>
  <c r="BQ11"/>
  <c r="BQ14"/>
  <c r="BQ17"/>
  <c r="BQ20"/>
  <c r="BQ23"/>
  <c r="BQ26"/>
  <c r="BQ29"/>
  <c r="BQ32"/>
  <c r="BQ35"/>
  <c r="BQ38"/>
  <c r="BQ41"/>
  <c r="BQ44"/>
  <c r="BQ47"/>
  <c r="BQ50"/>
  <c r="BQ53"/>
  <c r="BQ56"/>
  <c r="BQ59"/>
  <c r="BQ62"/>
  <c r="BQ65"/>
  <c r="BQ68"/>
  <c r="BQ71"/>
  <c r="BQ74"/>
  <c r="BQ77"/>
  <c r="BQ78"/>
  <c r="BR78" s="1"/>
  <c r="BQ79"/>
  <c r="BU79"/>
  <c r="BP17"/>
  <c r="BP46" i="3"/>
  <c r="BR43"/>
  <c r="BR42"/>
  <c r="BP44"/>
  <c r="BR39"/>
  <c r="BP41"/>
  <c r="BR36"/>
  <c r="BP38"/>
  <c r="BR31"/>
  <c r="BR30"/>
  <c r="BP32"/>
  <c r="BR27"/>
  <c r="BP29"/>
  <c r="BR21"/>
  <c r="BP23"/>
  <c r="BR19"/>
  <c r="BR18"/>
  <c r="BP20"/>
  <c r="BR16"/>
  <c r="BR15"/>
  <c r="BP17"/>
  <c r="BR13"/>
  <c r="BR12"/>
  <c r="BP14"/>
  <c r="BR10"/>
  <c r="BR9"/>
  <c r="BP11"/>
  <c r="BR7"/>
  <c r="BR6"/>
  <c r="BP47"/>
  <c r="BU45"/>
  <c r="BS47"/>
  <c r="BQ8"/>
  <c r="BQ11"/>
  <c r="BQ14"/>
  <c r="BQ17"/>
  <c r="BQ20"/>
  <c r="BQ23"/>
  <c r="BQ26"/>
  <c r="BQ29"/>
  <c r="BQ32"/>
  <c r="BQ35"/>
  <c r="BQ38"/>
  <c r="BQ41"/>
  <c r="BQ44"/>
  <c r="BQ45"/>
  <c r="BR45" s="1"/>
  <c r="BQ46"/>
  <c r="BU46"/>
  <c r="BP8"/>
  <c r="BP41" i="4"/>
  <c r="BR37"/>
  <c r="BP26"/>
  <c r="BP23"/>
  <c r="BP20"/>
  <c r="BP17"/>
  <c r="BU45"/>
  <c r="BR46"/>
  <c r="BQ47"/>
  <c r="BR7"/>
  <c r="BP8"/>
  <c r="BR10"/>
  <c r="BR13"/>
  <c r="BR16"/>
  <c r="BR19"/>
  <c r="BR22"/>
  <c r="BR25"/>
  <c r="BR28"/>
  <c r="BR34"/>
  <c r="BR40"/>
  <c r="BR43"/>
  <c r="BP45"/>
  <c r="BP47" s="1"/>
  <c r="BQ8"/>
  <c r="BU46"/>
  <c r="BK44" i="2"/>
  <c r="BK41"/>
  <c r="BK38"/>
  <c r="BK35"/>
  <c r="BK32"/>
  <c r="BK29"/>
  <c r="BK26"/>
  <c r="BK23"/>
  <c r="BK20"/>
  <c r="BK17"/>
  <c r="BK14"/>
  <c r="BK11"/>
  <c r="BK8"/>
  <c r="BN80" i="5"/>
  <c r="BN80" i="6"/>
  <c r="BN47" i="3"/>
  <c r="BN47" i="4"/>
  <c r="BJ71" i="1"/>
  <c r="BL70" i="2"/>
  <c r="BJ71"/>
  <c r="BJ62"/>
  <c r="BJ56"/>
  <c r="BL46" i="1"/>
  <c r="BL43"/>
  <c r="BL40"/>
  <c r="BJ74"/>
  <c r="BL37"/>
  <c r="BL36"/>
  <c r="BJ38"/>
  <c r="BL34"/>
  <c r="BL33"/>
  <c r="BJ35"/>
  <c r="BL31"/>
  <c r="BL30"/>
  <c r="BJ32"/>
  <c r="BL28"/>
  <c r="BL27"/>
  <c r="BJ29"/>
  <c r="BL25"/>
  <c r="BL24"/>
  <c r="BJ26"/>
  <c r="BL22"/>
  <c r="BL19"/>
  <c r="BL18"/>
  <c r="BJ20"/>
  <c r="BL16"/>
  <c r="BL15"/>
  <c r="BJ17"/>
  <c r="BL13"/>
  <c r="BL12"/>
  <c r="BJ14"/>
  <c r="BL10"/>
  <c r="BL9"/>
  <c r="BJ11"/>
  <c r="BL7"/>
  <c r="BL6"/>
  <c r="BL72" i="2"/>
  <c r="BJ74"/>
  <c r="BL36"/>
  <c r="BJ38"/>
  <c r="BL33"/>
  <c r="BJ35"/>
  <c r="BL30"/>
  <c r="BJ32"/>
  <c r="BL27"/>
  <c r="BJ29"/>
  <c r="BL24"/>
  <c r="BJ26"/>
  <c r="BL21"/>
  <c r="BJ23"/>
  <c r="BL18"/>
  <c r="BJ20"/>
  <c r="BL15"/>
  <c r="BJ17"/>
  <c r="BL12"/>
  <c r="BJ14"/>
  <c r="BL9"/>
  <c r="BJ11"/>
  <c r="BN77" i="1"/>
  <c r="BK8"/>
  <c r="BK11"/>
  <c r="BK14"/>
  <c r="BK17"/>
  <c r="BK20"/>
  <c r="BK23"/>
  <c r="BK26"/>
  <c r="BK29"/>
  <c r="BK32"/>
  <c r="BK35"/>
  <c r="BK38"/>
  <c r="BK41"/>
  <c r="BK44"/>
  <c r="BK47"/>
  <c r="BM50"/>
  <c r="BO52"/>
  <c r="BK53"/>
  <c r="BM56"/>
  <c r="BO58"/>
  <c r="BK59"/>
  <c r="BM62"/>
  <c r="BO64"/>
  <c r="BK65"/>
  <c r="BM68"/>
  <c r="BK70"/>
  <c r="BO70"/>
  <c r="BK75"/>
  <c r="BM75"/>
  <c r="BM76"/>
  <c r="BJ8"/>
  <c r="BJ48"/>
  <c r="BL48" s="1"/>
  <c r="BO48"/>
  <c r="BK49"/>
  <c r="BO49"/>
  <c r="BN50"/>
  <c r="BJ52"/>
  <c r="BJ53" s="1"/>
  <c r="BJ54"/>
  <c r="BJ56" s="1"/>
  <c r="BK55"/>
  <c r="BO55"/>
  <c r="BJ58"/>
  <c r="BJ59" s="1"/>
  <c r="BJ60"/>
  <c r="BJ62" s="1"/>
  <c r="BK61"/>
  <c r="BO61"/>
  <c r="BJ64"/>
  <c r="BJ65" s="1"/>
  <c r="BJ66"/>
  <c r="BL66" s="1"/>
  <c r="BK67"/>
  <c r="BO67"/>
  <c r="BL73"/>
  <c r="BN77" i="2"/>
  <c r="BL6"/>
  <c r="BL7"/>
  <c r="BJ8"/>
  <c r="BL10"/>
  <c r="BL13"/>
  <c r="BL16"/>
  <c r="BL19"/>
  <c r="BL22"/>
  <c r="BL25"/>
  <c r="BL28"/>
  <c r="BL31"/>
  <c r="BL34"/>
  <c r="BL37"/>
  <c r="BL40"/>
  <c r="BL43"/>
  <c r="BL46"/>
  <c r="BJ48"/>
  <c r="BJ75" s="1"/>
  <c r="BL75" s="1"/>
  <c r="BO48"/>
  <c r="BK49"/>
  <c r="BO49"/>
  <c r="BN50"/>
  <c r="BK55"/>
  <c r="BO55"/>
  <c r="BK61"/>
  <c r="BO61"/>
  <c r="BJ64"/>
  <c r="BJ65" s="1"/>
  <c r="BL64"/>
  <c r="BM65"/>
  <c r="BL67"/>
  <c r="BO70"/>
  <c r="BK71"/>
  <c r="BM75"/>
  <c r="BM76"/>
  <c r="BM50"/>
  <c r="BL52"/>
  <c r="BL58"/>
  <c r="BL73"/>
  <c r="BL75" i="6"/>
  <c r="BJ77"/>
  <c r="BL75" i="5"/>
  <c r="BJ77"/>
  <c r="BL73"/>
  <c r="BL72"/>
  <c r="BJ74"/>
  <c r="BL72" i="6"/>
  <c r="BJ74"/>
  <c r="BL70" i="5"/>
  <c r="BL66"/>
  <c r="BJ68"/>
  <c r="BL66" i="6"/>
  <c r="BJ68"/>
  <c r="BL63"/>
  <c r="BJ65"/>
  <c r="BL63" i="5"/>
  <c r="BJ65"/>
  <c r="BL60"/>
  <c r="BJ62"/>
  <c r="BL60" i="6"/>
  <c r="BJ62"/>
  <c r="BL57"/>
  <c r="BJ59"/>
  <c r="BL57" i="5"/>
  <c r="BJ59"/>
  <c r="BL54"/>
  <c r="BJ56"/>
  <c r="BL54" i="6"/>
  <c r="BJ56"/>
  <c r="BL51" i="5"/>
  <c r="BJ53"/>
  <c r="BL49"/>
  <c r="BL48"/>
  <c r="BJ50"/>
  <c r="BL45" i="6"/>
  <c r="BJ47"/>
  <c r="BL45" i="5"/>
  <c r="BJ47"/>
  <c r="BL42"/>
  <c r="BJ44"/>
  <c r="BL42" i="6"/>
  <c r="BJ44"/>
  <c r="BL40"/>
  <c r="BL39"/>
  <c r="BJ41"/>
  <c r="BL39" i="5"/>
  <c r="BJ41"/>
  <c r="BL36"/>
  <c r="BJ38"/>
  <c r="BL36" i="6"/>
  <c r="BJ38"/>
  <c r="BL33"/>
  <c r="BJ35"/>
  <c r="BL34" i="5"/>
  <c r="BL33"/>
  <c r="BJ35"/>
  <c r="BL30"/>
  <c r="BJ32"/>
  <c r="BL31" i="6"/>
  <c r="BL30"/>
  <c r="BJ32"/>
  <c r="BL27"/>
  <c r="BJ29"/>
  <c r="BL27" i="5"/>
  <c r="BJ29"/>
  <c r="BL25"/>
  <c r="BL24"/>
  <c r="BJ26"/>
  <c r="BL22"/>
  <c r="BL19"/>
  <c r="BL18"/>
  <c r="BJ20"/>
  <c r="BL13"/>
  <c r="BL12"/>
  <c r="BJ14"/>
  <c r="BL10"/>
  <c r="BL9"/>
  <c r="BJ11"/>
  <c r="BL7"/>
  <c r="BL6"/>
  <c r="BJ80"/>
  <c r="BO78"/>
  <c r="BM80"/>
  <c r="BL25" i="6"/>
  <c r="BJ80"/>
  <c r="BL24"/>
  <c r="BJ26"/>
  <c r="BL10"/>
  <c r="BL7"/>
  <c r="BL6"/>
  <c r="BJ8"/>
  <c r="BO78"/>
  <c r="BM80"/>
  <c r="BK8" i="5"/>
  <c r="BK11"/>
  <c r="BK14"/>
  <c r="BK17"/>
  <c r="BK20"/>
  <c r="BK23"/>
  <c r="BK26"/>
  <c r="BK29"/>
  <c r="BK32"/>
  <c r="BK35"/>
  <c r="BK38"/>
  <c r="BK41"/>
  <c r="BK44"/>
  <c r="BK47"/>
  <c r="BK50"/>
  <c r="BK53"/>
  <c r="BK56"/>
  <c r="BK59"/>
  <c r="BK62"/>
  <c r="BK65"/>
  <c r="BK68"/>
  <c r="BK71"/>
  <c r="BK74"/>
  <c r="BK77"/>
  <c r="BK78"/>
  <c r="BL78" s="1"/>
  <c r="BK79"/>
  <c r="BO79"/>
  <c r="BJ8"/>
  <c r="BK8" i="6"/>
  <c r="BK11"/>
  <c r="BK14"/>
  <c r="BK17"/>
  <c r="BK20"/>
  <c r="BK23"/>
  <c r="BK26"/>
  <c r="BK29"/>
  <c r="BK32"/>
  <c r="BK35"/>
  <c r="BK38"/>
  <c r="BK41"/>
  <c r="BK44"/>
  <c r="BK47"/>
  <c r="BK50"/>
  <c r="BK53"/>
  <c r="BK56"/>
  <c r="BK59"/>
  <c r="BK62"/>
  <c r="BK65"/>
  <c r="BK68"/>
  <c r="BK71"/>
  <c r="BK74"/>
  <c r="BK77"/>
  <c r="BK78"/>
  <c r="BL78" s="1"/>
  <c r="BK79"/>
  <c r="BO79"/>
  <c r="BJ17"/>
  <c r="BL40" i="3"/>
  <c r="BL39"/>
  <c r="BJ41"/>
  <c r="BL37"/>
  <c r="BL36"/>
  <c r="BJ38"/>
  <c r="BL30"/>
  <c r="BJ32"/>
  <c r="BL27"/>
  <c r="BJ29"/>
  <c r="BL25"/>
  <c r="BL22"/>
  <c r="BL19"/>
  <c r="BJ20"/>
  <c r="BL16"/>
  <c r="BL15"/>
  <c r="BJ17"/>
  <c r="BL10"/>
  <c r="BL9"/>
  <c r="BJ11"/>
  <c r="BL7"/>
  <c r="BL6"/>
  <c r="BJ47"/>
  <c r="BO45"/>
  <c r="BM47"/>
  <c r="BK8"/>
  <c r="BK11"/>
  <c r="BK14"/>
  <c r="BK17"/>
  <c r="BK20"/>
  <c r="BK23"/>
  <c r="BK26"/>
  <c r="BK29"/>
  <c r="BK32"/>
  <c r="BK35"/>
  <c r="BK38"/>
  <c r="BK41"/>
  <c r="BK44"/>
  <c r="BK45"/>
  <c r="BL45" s="1"/>
  <c r="BK46"/>
  <c r="BO46"/>
  <c r="BJ8"/>
  <c r="BL42" i="4"/>
  <c r="BJ44"/>
  <c r="BL39"/>
  <c r="BJ41"/>
  <c r="BL36"/>
  <c r="BJ38"/>
  <c r="BL31"/>
  <c r="BL30"/>
  <c r="BJ32"/>
  <c r="BL25"/>
  <c r="BL24"/>
  <c r="BJ26"/>
  <c r="BL22"/>
  <c r="BL21"/>
  <c r="BJ23"/>
  <c r="BL16"/>
  <c r="BL15"/>
  <c r="BJ17"/>
  <c r="BL7"/>
  <c r="BL6"/>
  <c r="BJ47"/>
  <c r="BO45"/>
  <c r="BM47"/>
  <c r="BK8"/>
  <c r="BK11"/>
  <c r="BK14"/>
  <c r="BK17"/>
  <c r="BK20"/>
  <c r="BK23"/>
  <c r="BK26"/>
  <c r="BK29"/>
  <c r="BK32"/>
  <c r="BK35"/>
  <c r="BK38"/>
  <c r="BK41"/>
  <c r="BK44"/>
  <c r="BK45"/>
  <c r="BL45" s="1"/>
  <c r="BK46"/>
  <c r="BO46"/>
  <c r="BJ8"/>
  <c r="BG49" i="2"/>
  <c r="BG48"/>
  <c r="BH75" i="1"/>
  <c r="BH74"/>
  <c r="BG74"/>
  <c r="BI73"/>
  <c r="BE73"/>
  <c r="BD73"/>
  <c r="BD74" s="1"/>
  <c r="BI72"/>
  <c r="BE72"/>
  <c r="BF72" s="1"/>
  <c r="BD72"/>
  <c r="BH71"/>
  <c r="BG71"/>
  <c r="BE70"/>
  <c r="BF70" s="1"/>
  <c r="BD70"/>
  <c r="BI69"/>
  <c r="BE69"/>
  <c r="BD69"/>
  <c r="BH68"/>
  <c r="BI67"/>
  <c r="BE67"/>
  <c r="BE68" s="1"/>
  <c r="BD67"/>
  <c r="BD68" s="1"/>
  <c r="BI66"/>
  <c r="BE66"/>
  <c r="BF66" s="1"/>
  <c r="BD66"/>
  <c r="BH65"/>
  <c r="BG65"/>
  <c r="BE64"/>
  <c r="BD64"/>
  <c r="BI63"/>
  <c r="BE63"/>
  <c r="BD63"/>
  <c r="BH62"/>
  <c r="BG62"/>
  <c r="BE61"/>
  <c r="BD61"/>
  <c r="BD62" s="1"/>
  <c r="BI60"/>
  <c r="BE60"/>
  <c r="BF60" s="1"/>
  <c r="BD60"/>
  <c r="BH59"/>
  <c r="BG59"/>
  <c r="BE58"/>
  <c r="BE59" s="1"/>
  <c r="BD58"/>
  <c r="BI57"/>
  <c r="BE57"/>
  <c r="BD57"/>
  <c r="BH56"/>
  <c r="BG56"/>
  <c r="BE55"/>
  <c r="BD55"/>
  <c r="BI54"/>
  <c r="BE54"/>
  <c r="BD54"/>
  <c r="BH53"/>
  <c r="BG53"/>
  <c r="BE52"/>
  <c r="BE53" s="1"/>
  <c r="BD52"/>
  <c r="BI51"/>
  <c r="BE51"/>
  <c r="BF51" s="1"/>
  <c r="BD51"/>
  <c r="BH76"/>
  <c r="BE49"/>
  <c r="BD49"/>
  <c r="BI48"/>
  <c r="BE48"/>
  <c r="BD48"/>
  <c r="BH47"/>
  <c r="BG47"/>
  <c r="BI46"/>
  <c r="BE46"/>
  <c r="BD46"/>
  <c r="BI45"/>
  <c r="BE45"/>
  <c r="BD45"/>
  <c r="BH44"/>
  <c r="BG44"/>
  <c r="BI43"/>
  <c r="BE43"/>
  <c r="BD43"/>
  <c r="BI42"/>
  <c r="BE42"/>
  <c r="BD42"/>
  <c r="BH41"/>
  <c r="BG41"/>
  <c r="BI40"/>
  <c r="BE40"/>
  <c r="BD40"/>
  <c r="BI39"/>
  <c r="BE39"/>
  <c r="BD39"/>
  <c r="BH38"/>
  <c r="BG38"/>
  <c r="BI37"/>
  <c r="BE37"/>
  <c r="BD37"/>
  <c r="BI36"/>
  <c r="BE36"/>
  <c r="BD36"/>
  <c r="BH35"/>
  <c r="BG35"/>
  <c r="BI34"/>
  <c r="BE34"/>
  <c r="BD34"/>
  <c r="BI33"/>
  <c r="BE33"/>
  <c r="BD33"/>
  <c r="BH32"/>
  <c r="BG32"/>
  <c r="BI31"/>
  <c r="BE31"/>
  <c r="BD31"/>
  <c r="BI30"/>
  <c r="BE30"/>
  <c r="BD30"/>
  <c r="BH29"/>
  <c r="BG29"/>
  <c r="BI28"/>
  <c r="BE28"/>
  <c r="BD28"/>
  <c r="BI27"/>
  <c r="BE27"/>
  <c r="BD27"/>
  <c r="BH26"/>
  <c r="BG26"/>
  <c r="BI25"/>
  <c r="BE25"/>
  <c r="BD25"/>
  <c r="BI24"/>
  <c r="BE24"/>
  <c r="BD24"/>
  <c r="BH23"/>
  <c r="BG23"/>
  <c r="BI22"/>
  <c r="BE22"/>
  <c r="BD22"/>
  <c r="BI21"/>
  <c r="BE21"/>
  <c r="BD21"/>
  <c r="BH20"/>
  <c r="BG20"/>
  <c r="BI19"/>
  <c r="BE19"/>
  <c r="BD19"/>
  <c r="BI18"/>
  <c r="BE18"/>
  <c r="BD18"/>
  <c r="BH17"/>
  <c r="BG17"/>
  <c r="BI16"/>
  <c r="BE16"/>
  <c r="BD16"/>
  <c r="BI15"/>
  <c r="BE15"/>
  <c r="BD15"/>
  <c r="BH14"/>
  <c r="BG14"/>
  <c r="BI13"/>
  <c r="BE13"/>
  <c r="BD13"/>
  <c r="BI12"/>
  <c r="BE12"/>
  <c r="BD12"/>
  <c r="BH11"/>
  <c r="BG11"/>
  <c r="BI10"/>
  <c r="BE10"/>
  <c r="BD10"/>
  <c r="BI9"/>
  <c r="BE9"/>
  <c r="BD9"/>
  <c r="BH8"/>
  <c r="BG8"/>
  <c r="BI7"/>
  <c r="BE7"/>
  <c r="BD7"/>
  <c r="BD76" s="1"/>
  <c r="BI6"/>
  <c r="BE6"/>
  <c r="BE75" s="1"/>
  <c r="BD6"/>
  <c r="BD75" s="1"/>
  <c r="BH75" i="2"/>
  <c r="BH74"/>
  <c r="BG74"/>
  <c r="BI73"/>
  <c r="BE73"/>
  <c r="BE74" s="1"/>
  <c r="BD73"/>
  <c r="BI72"/>
  <c r="BE72"/>
  <c r="BD72"/>
  <c r="BF72" s="1"/>
  <c r="BH71"/>
  <c r="BG71"/>
  <c r="BD70"/>
  <c r="BI69"/>
  <c r="BE69"/>
  <c r="BD69"/>
  <c r="BF69" s="1"/>
  <c r="BH68"/>
  <c r="BG68"/>
  <c r="BI67"/>
  <c r="BE67"/>
  <c r="BF67" s="1"/>
  <c r="BD67"/>
  <c r="BD68" s="1"/>
  <c r="BI66"/>
  <c r="BE66"/>
  <c r="BF66" s="1"/>
  <c r="BD66"/>
  <c r="BH65"/>
  <c r="BG65"/>
  <c r="BE64"/>
  <c r="BI63"/>
  <c r="BE63"/>
  <c r="BD63"/>
  <c r="BH62"/>
  <c r="BG62"/>
  <c r="BE61"/>
  <c r="BI60"/>
  <c r="BE60"/>
  <c r="BD60"/>
  <c r="BH59"/>
  <c r="BG59"/>
  <c r="BI58"/>
  <c r="BE58"/>
  <c r="BE59" s="1"/>
  <c r="BD58"/>
  <c r="BD59" s="1"/>
  <c r="BI57"/>
  <c r="BE57"/>
  <c r="BD57"/>
  <c r="BF57" s="1"/>
  <c r="BH56"/>
  <c r="BG56"/>
  <c r="BD55"/>
  <c r="BI54"/>
  <c r="BE54"/>
  <c r="BD54"/>
  <c r="BH53"/>
  <c r="BG53"/>
  <c r="BI52"/>
  <c r="BE52"/>
  <c r="BD52"/>
  <c r="BD53" s="1"/>
  <c r="BI51"/>
  <c r="BE51"/>
  <c r="BF51" s="1"/>
  <c r="BD51"/>
  <c r="BH76"/>
  <c r="BE49"/>
  <c r="BD49"/>
  <c r="BI48"/>
  <c r="BE48"/>
  <c r="BF48" s="1"/>
  <c r="BD48"/>
  <c r="BH47"/>
  <c r="BG47"/>
  <c r="BI46"/>
  <c r="BE46"/>
  <c r="BE47" s="1"/>
  <c r="BD46"/>
  <c r="BD47" s="1"/>
  <c r="BI45"/>
  <c r="BE45"/>
  <c r="BF45" s="1"/>
  <c r="BD45"/>
  <c r="BH44"/>
  <c r="BG44"/>
  <c r="BI43"/>
  <c r="BE43"/>
  <c r="BD43"/>
  <c r="BD44" s="1"/>
  <c r="BI42"/>
  <c r="BE42"/>
  <c r="BF42" s="1"/>
  <c r="BD42"/>
  <c r="BH41"/>
  <c r="BG41"/>
  <c r="BI40"/>
  <c r="BE40"/>
  <c r="BE41" s="1"/>
  <c r="BD40"/>
  <c r="BD41" s="1"/>
  <c r="BI39"/>
  <c r="BE39"/>
  <c r="BF39" s="1"/>
  <c r="BD39"/>
  <c r="BH38"/>
  <c r="BG38"/>
  <c r="BI37"/>
  <c r="BE37"/>
  <c r="BE38" s="1"/>
  <c r="BD37"/>
  <c r="BI36"/>
  <c r="BE36"/>
  <c r="BD36"/>
  <c r="BH35"/>
  <c r="BG35"/>
  <c r="BI34"/>
  <c r="BE34"/>
  <c r="BE35" s="1"/>
  <c r="BD34"/>
  <c r="BI33"/>
  <c r="BE33"/>
  <c r="BD33"/>
  <c r="BH32"/>
  <c r="BG32"/>
  <c r="BI31"/>
  <c r="BE31"/>
  <c r="BE32" s="1"/>
  <c r="BD31"/>
  <c r="BI30"/>
  <c r="BE30"/>
  <c r="BD30"/>
  <c r="BH29"/>
  <c r="BG29"/>
  <c r="BI28"/>
  <c r="BE28"/>
  <c r="BD28"/>
  <c r="BI27"/>
  <c r="BE27"/>
  <c r="BD27"/>
  <c r="BH26"/>
  <c r="BG26"/>
  <c r="BI25"/>
  <c r="BE25"/>
  <c r="BE26" s="1"/>
  <c r="BD25"/>
  <c r="BI24"/>
  <c r="BE24"/>
  <c r="BD24"/>
  <c r="BH23"/>
  <c r="BG23"/>
  <c r="BI22"/>
  <c r="BE22"/>
  <c r="BE23" s="1"/>
  <c r="BD22"/>
  <c r="BI21"/>
  <c r="BE21"/>
  <c r="BD21"/>
  <c r="BH20"/>
  <c r="BG20"/>
  <c r="BI19"/>
  <c r="BE19"/>
  <c r="BD19"/>
  <c r="BI18"/>
  <c r="BE18"/>
  <c r="BD18"/>
  <c r="BH17"/>
  <c r="BG17"/>
  <c r="BI16"/>
  <c r="BE16"/>
  <c r="BD16"/>
  <c r="BI15"/>
  <c r="BE15"/>
  <c r="BD15"/>
  <c r="BH14"/>
  <c r="BG14"/>
  <c r="BI13"/>
  <c r="BE13"/>
  <c r="BD13"/>
  <c r="BI12"/>
  <c r="BE12"/>
  <c r="BD12"/>
  <c r="BH11"/>
  <c r="BG11"/>
  <c r="BI10"/>
  <c r="BE10"/>
  <c r="BD10"/>
  <c r="BD11" s="1"/>
  <c r="BI9"/>
  <c r="BE9"/>
  <c r="BF9" s="1"/>
  <c r="BD9"/>
  <c r="BH8"/>
  <c r="BG8"/>
  <c r="BI7"/>
  <c r="BE7"/>
  <c r="BD7"/>
  <c r="BI6"/>
  <c r="BE6"/>
  <c r="BE75" s="1"/>
  <c r="BD6"/>
  <c r="BD75" s="1"/>
  <c r="BH79" i="5"/>
  <c r="BG79"/>
  <c r="BH78"/>
  <c r="BG78"/>
  <c r="BH77"/>
  <c r="BG77"/>
  <c r="BI76"/>
  <c r="BE76"/>
  <c r="BF76" s="1"/>
  <c r="BD76"/>
  <c r="BI75"/>
  <c r="BE75"/>
  <c r="BD75"/>
  <c r="BH74"/>
  <c r="BG74"/>
  <c r="BI73"/>
  <c r="BE73"/>
  <c r="BF73" s="1"/>
  <c r="BD73"/>
  <c r="BI72"/>
  <c r="BE72"/>
  <c r="BD72"/>
  <c r="BH71"/>
  <c r="BG71"/>
  <c r="BI70"/>
  <c r="BE70"/>
  <c r="BF70" s="1"/>
  <c r="BD70"/>
  <c r="BI69"/>
  <c r="BE69"/>
  <c r="BD69"/>
  <c r="BH68"/>
  <c r="BG68"/>
  <c r="BI67"/>
  <c r="BE67"/>
  <c r="BF67" s="1"/>
  <c r="BD67"/>
  <c r="BI66"/>
  <c r="BE66"/>
  <c r="BD66"/>
  <c r="BH65"/>
  <c r="BG65"/>
  <c r="BI64"/>
  <c r="BE64"/>
  <c r="BF64" s="1"/>
  <c r="BD64"/>
  <c r="BI63"/>
  <c r="BE63"/>
  <c r="BD63"/>
  <c r="BH62"/>
  <c r="BG62"/>
  <c r="BI61"/>
  <c r="BE61"/>
  <c r="BF61" s="1"/>
  <c r="BD61"/>
  <c r="BI60"/>
  <c r="BE60"/>
  <c r="BD60"/>
  <c r="BH59"/>
  <c r="BG59"/>
  <c r="BI58"/>
  <c r="BE58"/>
  <c r="BF58" s="1"/>
  <c r="BD58"/>
  <c r="BI57"/>
  <c r="BE57"/>
  <c r="BD57"/>
  <c r="BH56"/>
  <c r="BG56"/>
  <c r="BI55"/>
  <c r="BE55"/>
  <c r="BD55"/>
  <c r="BI54"/>
  <c r="BE54"/>
  <c r="BD54"/>
  <c r="BH53"/>
  <c r="BG53"/>
  <c r="BI52"/>
  <c r="BE52"/>
  <c r="BF52" s="1"/>
  <c r="BD52"/>
  <c r="BI51"/>
  <c r="BE51"/>
  <c r="BD51"/>
  <c r="BH50"/>
  <c r="BG50"/>
  <c r="BI49"/>
  <c r="BE49"/>
  <c r="BF49" s="1"/>
  <c r="BD49"/>
  <c r="BI48"/>
  <c r="BE48"/>
  <c r="BD48"/>
  <c r="BH47"/>
  <c r="BG47"/>
  <c r="BI46"/>
  <c r="BE46"/>
  <c r="BD46"/>
  <c r="BI45"/>
  <c r="BE45"/>
  <c r="BD45"/>
  <c r="BH44"/>
  <c r="BG44"/>
  <c r="BI43"/>
  <c r="BE43"/>
  <c r="BD43"/>
  <c r="BI42"/>
  <c r="BE42"/>
  <c r="BD42"/>
  <c r="BH41"/>
  <c r="BG41"/>
  <c r="BI40"/>
  <c r="BE40"/>
  <c r="BD40"/>
  <c r="BI39"/>
  <c r="BE39"/>
  <c r="BD39"/>
  <c r="BH38"/>
  <c r="BG38"/>
  <c r="BI37"/>
  <c r="BE37"/>
  <c r="BF37" s="1"/>
  <c r="BD37"/>
  <c r="BI36"/>
  <c r="BE36"/>
  <c r="BD36"/>
  <c r="BH35"/>
  <c r="BG35"/>
  <c r="BI34"/>
  <c r="BE34"/>
  <c r="BD34"/>
  <c r="BI33"/>
  <c r="BE33"/>
  <c r="BD33"/>
  <c r="BH32"/>
  <c r="BG32"/>
  <c r="BI31"/>
  <c r="BE31"/>
  <c r="BF31" s="1"/>
  <c r="BD31"/>
  <c r="BI30"/>
  <c r="BE30"/>
  <c r="BD30"/>
  <c r="BH29"/>
  <c r="BG29"/>
  <c r="BI28"/>
  <c r="BE28"/>
  <c r="BD28"/>
  <c r="BI27"/>
  <c r="BE27"/>
  <c r="BD27"/>
  <c r="BH26"/>
  <c r="BG26"/>
  <c r="BI25"/>
  <c r="BE25"/>
  <c r="BD25"/>
  <c r="BI24"/>
  <c r="BE24"/>
  <c r="BD24"/>
  <c r="BH23"/>
  <c r="BG23"/>
  <c r="BI22"/>
  <c r="BE22"/>
  <c r="BD22"/>
  <c r="BI21"/>
  <c r="BE21"/>
  <c r="BD21"/>
  <c r="BH20"/>
  <c r="BG20"/>
  <c r="BI19"/>
  <c r="BE19"/>
  <c r="BD19"/>
  <c r="BI18"/>
  <c r="BE18"/>
  <c r="BD18"/>
  <c r="BH17"/>
  <c r="BG17"/>
  <c r="BI16"/>
  <c r="BE16"/>
  <c r="BD16"/>
  <c r="BD17" s="1"/>
  <c r="BI15"/>
  <c r="BE15"/>
  <c r="BF15" s="1"/>
  <c r="BD15"/>
  <c r="BH14"/>
  <c r="BG14"/>
  <c r="BI13"/>
  <c r="BE13"/>
  <c r="BD13"/>
  <c r="BD14" s="1"/>
  <c r="BI12"/>
  <c r="BE12"/>
  <c r="BF12" s="1"/>
  <c r="BD12"/>
  <c r="BH11"/>
  <c r="BG11"/>
  <c r="BI10"/>
  <c r="BE10"/>
  <c r="BF10" s="1"/>
  <c r="BD10"/>
  <c r="BI9"/>
  <c r="BE9"/>
  <c r="BD9"/>
  <c r="BH8"/>
  <c r="BG8"/>
  <c r="BI7"/>
  <c r="BE7"/>
  <c r="BD7"/>
  <c r="BD79" s="1"/>
  <c r="BI6"/>
  <c r="BE6"/>
  <c r="BD6"/>
  <c r="BD78" s="1"/>
  <c r="BH79" i="6"/>
  <c r="BG79"/>
  <c r="BH78"/>
  <c r="BG78"/>
  <c r="BG80" s="1"/>
  <c r="BH77"/>
  <c r="BG77"/>
  <c r="BI76"/>
  <c r="BE76"/>
  <c r="BD76"/>
  <c r="BI75"/>
  <c r="BE75"/>
  <c r="BD75"/>
  <c r="BH74"/>
  <c r="BG74"/>
  <c r="BI73"/>
  <c r="BE73"/>
  <c r="BD73"/>
  <c r="BI72"/>
  <c r="BE72"/>
  <c r="BD72"/>
  <c r="BH71"/>
  <c r="BG71"/>
  <c r="BI70"/>
  <c r="BE70"/>
  <c r="BD70"/>
  <c r="BD71" s="1"/>
  <c r="BI69"/>
  <c r="BE69"/>
  <c r="BF69" s="1"/>
  <c r="BD69"/>
  <c r="BH68"/>
  <c r="BG68"/>
  <c r="BI67"/>
  <c r="BE67"/>
  <c r="BF67" s="1"/>
  <c r="BD67"/>
  <c r="BI66"/>
  <c r="BE66"/>
  <c r="BD66"/>
  <c r="BH65"/>
  <c r="BG65"/>
  <c r="BI64"/>
  <c r="BE64"/>
  <c r="BF64" s="1"/>
  <c r="BD64"/>
  <c r="BD65" s="1"/>
  <c r="BI63"/>
  <c r="BE63"/>
  <c r="BF63" s="1"/>
  <c r="BD63"/>
  <c r="BH62"/>
  <c r="BG62"/>
  <c r="BI61"/>
  <c r="BE61"/>
  <c r="BF61" s="1"/>
  <c r="BD61"/>
  <c r="BD62" s="1"/>
  <c r="BI60"/>
  <c r="BE60"/>
  <c r="BF60" s="1"/>
  <c r="BD60"/>
  <c r="BH59"/>
  <c r="BG59"/>
  <c r="BI58"/>
  <c r="BE58"/>
  <c r="BF58" s="1"/>
  <c r="BD58"/>
  <c r="BI57"/>
  <c r="BE57"/>
  <c r="BD57"/>
  <c r="BH56"/>
  <c r="BG56"/>
  <c r="BI55"/>
  <c r="BE55"/>
  <c r="BF55" s="1"/>
  <c r="BD55"/>
  <c r="BD56" s="1"/>
  <c r="BI54"/>
  <c r="BE54"/>
  <c r="BF54" s="1"/>
  <c r="BD54"/>
  <c r="BH53"/>
  <c r="BG53"/>
  <c r="BI52"/>
  <c r="BE52"/>
  <c r="BF52" s="1"/>
  <c r="BD52"/>
  <c r="BI51"/>
  <c r="BE51"/>
  <c r="BD51"/>
  <c r="BH50"/>
  <c r="BG50"/>
  <c r="BI49"/>
  <c r="BE49"/>
  <c r="BF49" s="1"/>
  <c r="BD49"/>
  <c r="BD50" s="1"/>
  <c r="BI48"/>
  <c r="BE48"/>
  <c r="BF48" s="1"/>
  <c r="BD48"/>
  <c r="BH47"/>
  <c r="BG47"/>
  <c r="BI46"/>
  <c r="BE46"/>
  <c r="BF46" s="1"/>
  <c r="BD46"/>
  <c r="BI45"/>
  <c r="BE45"/>
  <c r="BD45"/>
  <c r="BH44"/>
  <c r="BG44"/>
  <c r="BI43"/>
  <c r="BE43"/>
  <c r="BF43" s="1"/>
  <c r="BD43"/>
  <c r="BI42"/>
  <c r="BE42"/>
  <c r="BD42"/>
  <c r="BH41"/>
  <c r="BG41"/>
  <c r="BI40"/>
  <c r="BE40"/>
  <c r="BF40" s="1"/>
  <c r="BD40"/>
  <c r="BI39"/>
  <c r="BE39"/>
  <c r="BD39"/>
  <c r="BH38"/>
  <c r="BG38"/>
  <c r="BI37"/>
  <c r="BE37"/>
  <c r="BF37" s="1"/>
  <c r="BD37"/>
  <c r="BI36"/>
  <c r="BE36"/>
  <c r="BD36"/>
  <c r="BH35"/>
  <c r="BG35"/>
  <c r="BI34"/>
  <c r="BE34"/>
  <c r="BF34" s="1"/>
  <c r="BD34"/>
  <c r="BI33"/>
  <c r="BE33"/>
  <c r="BD33"/>
  <c r="BH32"/>
  <c r="BG32"/>
  <c r="BI31"/>
  <c r="BE31"/>
  <c r="BF31" s="1"/>
  <c r="BD31"/>
  <c r="BI30"/>
  <c r="BE30"/>
  <c r="BD30"/>
  <c r="BH29"/>
  <c r="BG29"/>
  <c r="BI28"/>
  <c r="BE28"/>
  <c r="BF28" s="1"/>
  <c r="BD28"/>
  <c r="BI27"/>
  <c r="BE27"/>
  <c r="BD27"/>
  <c r="BH26"/>
  <c r="BG26"/>
  <c r="BI25"/>
  <c r="BE25"/>
  <c r="BD25"/>
  <c r="BI24"/>
  <c r="BE24"/>
  <c r="BD24"/>
  <c r="BH23"/>
  <c r="BG23"/>
  <c r="BI22"/>
  <c r="BE22"/>
  <c r="BF22" s="1"/>
  <c r="BD22"/>
  <c r="BD23" s="1"/>
  <c r="BI21"/>
  <c r="BE21"/>
  <c r="BF21" s="1"/>
  <c r="BD21"/>
  <c r="BH20"/>
  <c r="BG20"/>
  <c r="BI19"/>
  <c r="BE19"/>
  <c r="BF19" s="1"/>
  <c r="BD19"/>
  <c r="BD20" s="1"/>
  <c r="BI18"/>
  <c r="BE18"/>
  <c r="BF18" s="1"/>
  <c r="BD18"/>
  <c r="BH17"/>
  <c r="BG17"/>
  <c r="BI16"/>
  <c r="BE16"/>
  <c r="BF16" s="1"/>
  <c r="BD16"/>
  <c r="BD79" s="1"/>
  <c r="BI15"/>
  <c r="BE15"/>
  <c r="BD15"/>
  <c r="BD78" s="1"/>
  <c r="BH14"/>
  <c r="BG14"/>
  <c r="BI13"/>
  <c r="BE13"/>
  <c r="BD13"/>
  <c r="BD14" s="1"/>
  <c r="BI12"/>
  <c r="BE12"/>
  <c r="BF12" s="1"/>
  <c r="BD12"/>
  <c r="BH11"/>
  <c r="BG11"/>
  <c r="BI10"/>
  <c r="BE10"/>
  <c r="BF10" s="1"/>
  <c r="BD10"/>
  <c r="BD11" s="1"/>
  <c r="BI9"/>
  <c r="BE9"/>
  <c r="BF9" s="1"/>
  <c r="BD9"/>
  <c r="BH8"/>
  <c r="BG8"/>
  <c r="BI7"/>
  <c r="BE7"/>
  <c r="BF7" s="1"/>
  <c r="BD7"/>
  <c r="BI6"/>
  <c r="BE6"/>
  <c r="BD6"/>
  <c r="BH23" i="4"/>
  <c r="BH46" i="3"/>
  <c r="BG46"/>
  <c r="BH45"/>
  <c r="BH47" s="1"/>
  <c r="BG45"/>
  <c r="BH44"/>
  <c r="BG44"/>
  <c r="BI43"/>
  <c r="BE43"/>
  <c r="BF43" s="1"/>
  <c r="BD43"/>
  <c r="BD44" s="1"/>
  <c r="BI42"/>
  <c r="BE42"/>
  <c r="BF42" s="1"/>
  <c r="BD42"/>
  <c r="BH41"/>
  <c r="BG41"/>
  <c r="BI40"/>
  <c r="BE40"/>
  <c r="BF40" s="1"/>
  <c r="BD40"/>
  <c r="BD41" s="1"/>
  <c r="BI39"/>
  <c r="BE39"/>
  <c r="BF39" s="1"/>
  <c r="BD39"/>
  <c r="BH38"/>
  <c r="BG38"/>
  <c r="BI37"/>
  <c r="BE37"/>
  <c r="BF37" s="1"/>
  <c r="BD37"/>
  <c r="BI36"/>
  <c r="BE36"/>
  <c r="BD36"/>
  <c r="BH35"/>
  <c r="BG35"/>
  <c r="BI34"/>
  <c r="BE34"/>
  <c r="BF34" s="1"/>
  <c r="BD34"/>
  <c r="BD35" s="1"/>
  <c r="BI33"/>
  <c r="BE33"/>
  <c r="BF33" s="1"/>
  <c r="BD33"/>
  <c r="BH32"/>
  <c r="BG32"/>
  <c r="BI31"/>
  <c r="BE31"/>
  <c r="BF31" s="1"/>
  <c r="BD31"/>
  <c r="BD32" s="1"/>
  <c r="BI30"/>
  <c r="BE30"/>
  <c r="BF30" s="1"/>
  <c r="BD30"/>
  <c r="BH29"/>
  <c r="BG29"/>
  <c r="BI28"/>
  <c r="BE28"/>
  <c r="BF28" s="1"/>
  <c r="BD28"/>
  <c r="BI27"/>
  <c r="BE27"/>
  <c r="BD27"/>
  <c r="BH26"/>
  <c r="BG26"/>
  <c r="BI25"/>
  <c r="BE25"/>
  <c r="BF25" s="1"/>
  <c r="BD25"/>
  <c r="BD26" s="1"/>
  <c r="BI24"/>
  <c r="BE24"/>
  <c r="BF24" s="1"/>
  <c r="BD24"/>
  <c r="BH23"/>
  <c r="BG23"/>
  <c r="BI22"/>
  <c r="BE22"/>
  <c r="BF22" s="1"/>
  <c r="BD22"/>
  <c r="BI21"/>
  <c r="BE21"/>
  <c r="BD21"/>
  <c r="BH20"/>
  <c r="BG20"/>
  <c r="BI19"/>
  <c r="BE19"/>
  <c r="BF19" s="1"/>
  <c r="BD19"/>
  <c r="BI18"/>
  <c r="BE18"/>
  <c r="BD18"/>
  <c r="BH17"/>
  <c r="BG17"/>
  <c r="BI16"/>
  <c r="BE16"/>
  <c r="BD16"/>
  <c r="BI15"/>
  <c r="BE15"/>
  <c r="BD15"/>
  <c r="BH14"/>
  <c r="BG14"/>
  <c r="BI13"/>
  <c r="BE13"/>
  <c r="BD13"/>
  <c r="BI12"/>
  <c r="BE12"/>
  <c r="BD12"/>
  <c r="BH11"/>
  <c r="BG11"/>
  <c r="BI10"/>
  <c r="BE10"/>
  <c r="BF10" s="1"/>
  <c r="BD10"/>
  <c r="BI9"/>
  <c r="BE9"/>
  <c r="BD9"/>
  <c r="BH8"/>
  <c r="BG8"/>
  <c r="BI7"/>
  <c r="BE7"/>
  <c r="BF7" s="1"/>
  <c r="BD7"/>
  <c r="BD46" s="1"/>
  <c r="BI6"/>
  <c r="BE6"/>
  <c r="BD6"/>
  <c r="BD45" s="1"/>
  <c r="BH46" i="4"/>
  <c r="BG46"/>
  <c r="BH45"/>
  <c r="BG45"/>
  <c r="BH44"/>
  <c r="BG44"/>
  <c r="BI43"/>
  <c r="BE43"/>
  <c r="BF43" s="1"/>
  <c r="BD43"/>
  <c r="BD44" s="1"/>
  <c r="BI42"/>
  <c r="BE42"/>
  <c r="BF42" s="1"/>
  <c r="BD42"/>
  <c r="BH41"/>
  <c r="BG41"/>
  <c r="BI40"/>
  <c r="BE40"/>
  <c r="BD40"/>
  <c r="BI39"/>
  <c r="BE39"/>
  <c r="BD39"/>
  <c r="BH38"/>
  <c r="BG38"/>
  <c r="BI37"/>
  <c r="BE37"/>
  <c r="BF37" s="1"/>
  <c r="BD37"/>
  <c r="BI36"/>
  <c r="BE36"/>
  <c r="BD36"/>
  <c r="BH35"/>
  <c r="BG35"/>
  <c r="BI34"/>
  <c r="BE34"/>
  <c r="BF34" s="1"/>
  <c r="BD34"/>
  <c r="BD35" s="1"/>
  <c r="BI33"/>
  <c r="BE33"/>
  <c r="BF33" s="1"/>
  <c r="BD33"/>
  <c r="BH32"/>
  <c r="BG32"/>
  <c r="BI31"/>
  <c r="BE31"/>
  <c r="BF31" s="1"/>
  <c r="BD31"/>
  <c r="BI30"/>
  <c r="BE30"/>
  <c r="BD30"/>
  <c r="BH29"/>
  <c r="BG29"/>
  <c r="BI28"/>
  <c r="BE28"/>
  <c r="BF28" s="1"/>
  <c r="BD28"/>
  <c r="BD29" s="1"/>
  <c r="BI27"/>
  <c r="BE27"/>
  <c r="BF27" s="1"/>
  <c r="BD27"/>
  <c r="BH26"/>
  <c r="BG26"/>
  <c r="BI25"/>
  <c r="BE25"/>
  <c r="BD25"/>
  <c r="BI24"/>
  <c r="BE24"/>
  <c r="BD24"/>
  <c r="BG23"/>
  <c r="BI22"/>
  <c r="BE22"/>
  <c r="BD22"/>
  <c r="BI21"/>
  <c r="BE21"/>
  <c r="BD21"/>
  <c r="BH20"/>
  <c r="BG20"/>
  <c r="BI19"/>
  <c r="BE19"/>
  <c r="BF19" s="1"/>
  <c r="BD19"/>
  <c r="BD20" s="1"/>
  <c r="BI18"/>
  <c r="BE18"/>
  <c r="BF18" s="1"/>
  <c r="BD18"/>
  <c r="BH17"/>
  <c r="BG17"/>
  <c r="BI16"/>
  <c r="BE16"/>
  <c r="BD16"/>
  <c r="BI15"/>
  <c r="BE15"/>
  <c r="BD15"/>
  <c r="BH14"/>
  <c r="BG14"/>
  <c r="BI13"/>
  <c r="BE13"/>
  <c r="BF13" s="1"/>
  <c r="BD13"/>
  <c r="BD14" s="1"/>
  <c r="BI12"/>
  <c r="BE12"/>
  <c r="BF12" s="1"/>
  <c r="BD12"/>
  <c r="BH11"/>
  <c r="BG11"/>
  <c r="BI10"/>
  <c r="BE10"/>
  <c r="BF10" s="1"/>
  <c r="BD10"/>
  <c r="BD11" s="1"/>
  <c r="BI9"/>
  <c r="BE9"/>
  <c r="BF9" s="1"/>
  <c r="BD9"/>
  <c r="BH8"/>
  <c r="BG8"/>
  <c r="BI7"/>
  <c r="BE7"/>
  <c r="BD7"/>
  <c r="BD46" s="1"/>
  <c r="BI6"/>
  <c r="BE6"/>
  <c r="BD6"/>
  <c r="BD45" s="1"/>
  <c r="BB70" i="1"/>
  <c r="BB64"/>
  <c r="BB61"/>
  <c r="BB58"/>
  <c r="BB55"/>
  <c r="BB52"/>
  <c r="BB49"/>
  <c r="BB70" i="2"/>
  <c r="BB64"/>
  <c r="BB61"/>
  <c r="BB55"/>
  <c r="BB49"/>
  <c r="BV75" i="1" l="1"/>
  <c r="CA76"/>
  <c r="BX46" i="3"/>
  <c r="BW47"/>
  <c r="BX46" i="4"/>
  <c r="BW47"/>
  <c r="BW50" i="1"/>
  <c r="BX49"/>
  <c r="BW76"/>
  <c r="BX75"/>
  <c r="BV68"/>
  <c r="BX64"/>
  <c r="BX54"/>
  <c r="BV76"/>
  <c r="BV77" s="1"/>
  <c r="BV62"/>
  <c r="BX58"/>
  <c r="BX48"/>
  <c r="BW68"/>
  <c r="BX67"/>
  <c r="BW62"/>
  <c r="BX61"/>
  <c r="BW56"/>
  <c r="BX55"/>
  <c r="BY77"/>
  <c r="CA75"/>
  <c r="BX52"/>
  <c r="BX70"/>
  <c r="BV50"/>
  <c r="BT95" i="2"/>
  <c r="BR67" i="1"/>
  <c r="BR63"/>
  <c r="BR58"/>
  <c r="BR52"/>
  <c r="BQ77"/>
  <c r="BS77"/>
  <c r="BR64"/>
  <c r="BQ65"/>
  <c r="BP76"/>
  <c r="BP77" s="1"/>
  <c r="BU75"/>
  <c r="BR75"/>
  <c r="BR70"/>
  <c r="BR61"/>
  <c r="BR55"/>
  <c r="BR49"/>
  <c r="BP65"/>
  <c r="BQ77" i="2"/>
  <c r="BP76"/>
  <c r="BP77" s="1"/>
  <c r="BS77"/>
  <c r="BU75"/>
  <c r="BR61"/>
  <c r="BU76"/>
  <c r="BR79" i="5"/>
  <c r="BQ80"/>
  <c r="BR79" i="6"/>
  <c r="BQ80"/>
  <c r="BR46" i="3"/>
  <c r="BQ47"/>
  <c r="BR45" i="4"/>
  <c r="BK76" i="2"/>
  <c r="BO75"/>
  <c r="BO75" i="1"/>
  <c r="BK68"/>
  <c r="BL67"/>
  <c r="BK62"/>
  <c r="BL61"/>
  <c r="BK56"/>
  <c r="BL55"/>
  <c r="BM77"/>
  <c r="BL70"/>
  <c r="BK71"/>
  <c r="BL60"/>
  <c r="BJ50"/>
  <c r="BJ75"/>
  <c r="BL75" s="1"/>
  <c r="BJ68"/>
  <c r="BL64"/>
  <c r="BL54"/>
  <c r="BJ76"/>
  <c r="BJ77" s="1"/>
  <c r="BK50"/>
  <c r="BL49"/>
  <c r="BK76"/>
  <c r="BL58"/>
  <c r="BO76"/>
  <c r="BL52"/>
  <c r="BM77" i="2"/>
  <c r="BL49"/>
  <c r="BK50"/>
  <c r="BL48"/>
  <c r="BO76"/>
  <c r="BK77"/>
  <c r="BL61"/>
  <c r="BK62"/>
  <c r="BL55"/>
  <c r="BK56"/>
  <c r="BJ50"/>
  <c r="BJ76"/>
  <c r="BJ77" s="1"/>
  <c r="BL79" i="5"/>
  <c r="BK80"/>
  <c r="BL79" i="6"/>
  <c r="BK80"/>
  <c r="BL46" i="3"/>
  <c r="BK47"/>
  <c r="BL46" i="4"/>
  <c r="BK47"/>
  <c r="BE65" i="1"/>
  <c r="BF48"/>
  <c r="BF60" i="2"/>
  <c r="BF54"/>
  <c r="BE53"/>
  <c r="BE50"/>
  <c r="BE47" i="1"/>
  <c r="BE44"/>
  <c r="BE44" i="2"/>
  <c r="BE41" i="1"/>
  <c r="BE38"/>
  <c r="BE35"/>
  <c r="BE32"/>
  <c r="BE29"/>
  <c r="BE26"/>
  <c r="BE23"/>
  <c r="BE20"/>
  <c r="BE17"/>
  <c r="BE14"/>
  <c r="BE11"/>
  <c r="BE8"/>
  <c r="BE29" i="2"/>
  <c r="BE20"/>
  <c r="BE17"/>
  <c r="BE14"/>
  <c r="BE11"/>
  <c r="BE8"/>
  <c r="BF69" i="1"/>
  <c r="BD71"/>
  <c r="BF63"/>
  <c r="BD65"/>
  <c r="BF61"/>
  <c r="BF57"/>
  <c r="BD59"/>
  <c r="BF55"/>
  <c r="BF54"/>
  <c r="BD56"/>
  <c r="BD53"/>
  <c r="BF49"/>
  <c r="BD50"/>
  <c r="BD71" i="2"/>
  <c r="BF63"/>
  <c r="BD56"/>
  <c r="BD50"/>
  <c r="BF45" i="1"/>
  <c r="BD47"/>
  <c r="BF42"/>
  <c r="BD44"/>
  <c r="BF39"/>
  <c r="BD41"/>
  <c r="BF73"/>
  <c r="BF36"/>
  <c r="BD38"/>
  <c r="BF33"/>
  <c r="BD35"/>
  <c r="BF30"/>
  <c r="BD32"/>
  <c r="BF27"/>
  <c r="BD29"/>
  <c r="BF24"/>
  <c r="BD26"/>
  <c r="BF21"/>
  <c r="BD23"/>
  <c r="BF18"/>
  <c r="BD20"/>
  <c r="BF15"/>
  <c r="BD17"/>
  <c r="BF12"/>
  <c r="BD14"/>
  <c r="BF9"/>
  <c r="BD11"/>
  <c r="BF75"/>
  <c r="BD77"/>
  <c r="BD74" i="2"/>
  <c r="BF36"/>
  <c r="BD38"/>
  <c r="BF33"/>
  <c r="BD35"/>
  <c r="BF30"/>
  <c r="BD32"/>
  <c r="BF27"/>
  <c r="BD29"/>
  <c r="BF24"/>
  <c r="BD26"/>
  <c r="BF21"/>
  <c r="BD23"/>
  <c r="BF18"/>
  <c r="BD20"/>
  <c r="BF15"/>
  <c r="BD17"/>
  <c r="BF12"/>
  <c r="BD14"/>
  <c r="BF75"/>
  <c r="BH77" i="1"/>
  <c r="BF6"/>
  <c r="BF7"/>
  <c r="BD8"/>
  <c r="BF10"/>
  <c r="BF13"/>
  <c r="BF16"/>
  <c r="BF19"/>
  <c r="BF22"/>
  <c r="BF25"/>
  <c r="BF28"/>
  <c r="BF31"/>
  <c r="BF34"/>
  <c r="BF37"/>
  <c r="BF40"/>
  <c r="BF43"/>
  <c r="BF46"/>
  <c r="BI49"/>
  <c r="BE50"/>
  <c r="BH50"/>
  <c r="BF52"/>
  <c r="BI55"/>
  <c r="BE56"/>
  <c r="BF58"/>
  <c r="BI61"/>
  <c r="BE62"/>
  <c r="BF64"/>
  <c r="BG68"/>
  <c r="BI70"/>
  <c r="BE71"/>
  <c r="BE74"/>
  <c r="BG75"/>
  <c r="BE76"/>
  <c r="BG76"/>
  <c r="BG50"/>
  <c r="BI52"/>
  <c r="BI58"/>
  <c r="BI64"/>
  <c r="BF67"/>
  <c r="BH77" i="2"/>
  <c r="BF6"/>
  <c r="BF7"/>
  <c r="BD8"/>
  <c r="BF10"/>
  <c r="BF13"/>
  <c r="BF16"/>
  <c r="BF19"/>
  <c r="BF22"/>
  <c r="BF25"/>
  <c r="BF28"/>
  <c r="BF31"/>
  <c r="BF34"/>
  <c r="BF37"/>
  <c r="BF40"/>
  <c r="BF43"/>
  <c r="BF46"/>
  <c r="BF49"/>
  <c r="BG50"/>
  <c r="BF52"/>
  <c r="BF58"/>
  <c r="BI61"/>
  <c r="BE62"/>
  <c r="BI64"/>
  <c r="BE65"/>
  <c r="BE68"/>
  <c r="BE70"/>
  <c r="BI70"/>
  <c r="BG75"/>
  <c r="BG76"/>
  <c r="BI49"/>
  <c r="BH50"/>
  <c r="BE55"/>
  <c r="BI55"/>
  <c r="BD61"/>
  <c r="BD62" s="1"/>
  <c r="BD64"/>
  <c r="BD65" s="1"/>
  <c r="BF73"/>
  <c r="BF75" i="6"/>
  <c r="BE77"/>
  <c r="BF72"/>
  <c r="BE74"/>
  <c r="BE71"/>
  <c r="BI78" i="5"/>
  <c r="BH80"/>
  <c r="BH80" i="6"/>
  <c r="BD77"/>
  <c r="BF75" i="5"/>
  <c r="BD77"/>
  <c r="BF72"/>
  <c r="BD74"/>
  <c r="BD74" i="6"/>
  <c r="BF69" i="5"/>
  <c r="BD71"/>
  <c r="BF66"/>
  <c r="BD68"/>
  <c r="BF66" i="6"/>
  <c r="BD68"/>
  <c r="BF63" i="5"/>
  <c r="BD65"/>
  <c r="BF60"/>
  <c r="BD62"/>
  <c r="BF57" i="6"/>
  <c r="BD59"/>
  <c r="BF57" i="5"/>
  <c r="BD59"/>
  <c r="BF55"/>
  <c r="BF54"/>
  <c r="BD56"/>
  <c r="BF51" i="6"/>
  <c r="BD53"/>
  <c r="BF51" i="5"/>
  <c r="BD53"/>
  <c r="BF48"/>
  <c r="BD50"/>
  <c r="BF45" i="6"/>
  <c r="BD47"/>
  <c r="BF46" i="5"/>
  <c r="BF45"/>
  <c r="BD47"/>
  <c r="BF43"/>
  <c r="BF42"/>
  <c r="BD44"/>
  <c r="BF42" i="6"/>
  <c r="BD44"/>
  <c r="BF39"/>
  <c r="BD41"/>
  <c r="BF40" i="5"/>
  <c r="BF39"/>
  <c r="BD41"/>
  <c r="BF36"/>
  <c r="BD38"/>
  <c r="BF36" i="6"/>
  <c r="BD38"/>
  <c r="BF33"/>
  <c r="BD35"/>
  <c r="BF34" i="5"/>
  <c r="BF33"/>
  <c r="BD35"/>
  <c r="BF30"/>
  <c r="BD32"/>
  <c r="BF30" i="6"/>
  <c r="BD32"/>
  <c r="BF27"/>
  <c r="BD29"/>
  <c r="BF28" i="5"/>
  <c r="BF27"/>
  <c r="BD29"/>
  <c r="BF25"/>
  <c r="BF24"/>
  <c r="BD26"/>
  <c r="BF22"/>
  <c r="BF21"/>
  <c r="BD23"/>
  <c r="BF19"/>
  <c r="BF18"/>
  <c r="BD20"/>
  <c r="BF16"/>
  <c r="BF13"/>
  <c r="BF9"/>
  <c r="BD11"/>
  <c r="BF7"/>
  <c r="BF6"/>
  <c r="BD80"/>
  <c r="BG80"/>
  <c r="BF25" i="6"/>
  <c r="BF24"/>
  <c r="BD26"/>
  <c r="BF15"/>
  <c r="BD80"/>
  <c r="BF13"/>
  <c r="BF6"/>
  <c r="BD8"/>
  <c r="BI78"/>
  <c r="BI79" i="5"/>
  <c r="BE8"/>
  <c r="BE11"/>
  <c r="BE14"/>
  <c r="BE17"/>
  <c r="BE20"/>
  <c r="BE23"/>
  <c r="BE26"/>
  <c r="BE29"/>
  <c r="BE32"/>
  <c r="BE35"/>
  <c r="BE38"/>
  <c r="BE41"/>
  <c r="BE44"/>
  <c r="BE47"/>
  <c r="BE50"/>
  <c r="BE53"/>
  <c r="BE56"/>
  <c r="BE59"/>
  <c r="BE62"/>
  <c r="BE65"/>
  <c r="BE68"/>
  <c r="BE71"/>
  <c r="BE74"/>
  <c r="BE77"/>
  <c r="BE78"/>
  <c r="BF78" s="1"/>
  <c r="BE79"/>
  <c r="BD8"/>
  <c r="BE8" i="6"/>
  <c r="BE11"/>
  <c r="BE14"/>
  <c r="BE17"/>
  <c r="BE20"/>
  <c r="BE23"/>
  <c r="BE26"/>
  <c r="BE29"/>
  <c r="BE32"/>
  <c r="BE35"/>
  <c r="BE38"/>
  <c r="BE41"/>
  <c r="BE44"/>
  <c r="BE47"/>
  <c r="BE50"/>
  <c r="BE53"/>
  <c r="BE56"/>
  <c r="BE59"/>
  <c r="BE62"/>
  <c r="BE65"/>
  <c r="BE68"/>
  <c r="BE78"/>
  <c r="BF78" s="1"/>
  <c r="BE79"/>
  <c r="BI79"/>
  <c r="BD17"/>
  <c r="BF70"/>
  <c r="BF73"/>
  <c r="BF76"/>
  <c r="BI45" i="3"/>
  <c r="BH47" i="4"/>
  <c r="BF36" i="3"/>
  <c r="BD38"/>
  <c r="BF27"/>
  <c r="BD29"/>
  <c r="BF21"/>
  <c r="BD23"/>
  <c r="BF18"/>
  <c r="BD20"/>
  <c r="BF16"/>
  <c r="BF15"/>
  <c r="BD17"/>
  <c r="BF13"/>
  <c r="BF12"/>
  <c r="BD14"/>
  <c r="BF9"/>
  <c r="BD11"/>
  <c r="BG47"/>
  <c r="BF6"/>
  <c r="BD47"/>
  <c r="BE8"/>
  <c r="BE11"/>
  <c r="BE14"/>
  <c r="BE17"/>
  <c r="BE20"/>
  <c r="BE23"/>
  <c r="BE26"/>
  <c r="BE29"/>
  <c r="BE32"/>
  <c r="BE35"/>
  <c r="BE38"/>
  <c r="BE41"/>
  <c r="BE44"/>
  <c r="BE45"/>
  <c r="BF45" s="1"/>
  <c r="BE46"/>
  <c r="BI46"/>
  <c r="BD8"/>
  <c r="BF40" i="4"/>
  <c r="BF39"/>
  <c r="BD41"/>
  <c r="BF36"/>
  <c r="BD38"/>
  <c r="BF30"/>
  <c r="BD32"/>
  <c r="BF25"/>
  <c r="BF24"/>
  <c r="BD26"/>
  <c r="BF22"/>
  <c r="BF21"/>
  <c r="BD23"/>
  <c r="BF16"/>
  <c r="BF15"/>
  <c r="BD17"/>
  <c r="BF7"/>
  <c r="BG47"/>
  <c r="BF6"/>
  <c r="BD47"/>
  <c r="BI45"/>
  <c r="BE11"/>
  <c r="BE14"/>
  <c r="BE17"/>
  <c r="BE20"/>
  <c r="BE23"/>
  <c r="BE26"/>
  <c r="BE29"/>
  <c r="BE32"/>
  <c r="BE35"/>
  <c r="BE38"/>
  <c r="BE41"/>
  <c r="BE44"/>
  <c r="BE45"/>
  <c r="BF45" s="1"/>
  <c r="BE46"/>
  <c r="BI46"/>
  <c r="BE8"/>
  <c r="BD8"/>
  <c r="BA70" i="1"/>
  <c r="BA71" s="1"/>
  <c r="BA69"/>
  <c r="BA67"/>
  <c r="BA66"/>
  <c r="BA64"/>
  <c r="BA63"/>
  <c r="BA61"/>
  <c r="BA62" s="1"/>
  <c r="BA60"/>
  <c r="BA58"/>
  <c r="BA57"/>
  <c r="BA55"/>
  <c r="BA54"/>
  <c r="BA52"/>
  <c r="BA51"/>
  <c r="BA49"/>
  <c r="BA48"/>
  <c r="BA64" i="2"/>
  <c r="BA70"/>
  <c r="BA61"/>
  <c r="BA60"/>
  <c r="BA55"/>
  <c r="BA49"/>
  <c r="BB74" i="1"/>
  <c r="BA74"/>
  <c r="BC73"/>
  <c r="AY73"/>
  <c r="AX73"/>
  <c r="AX74" s="1"/>
  <c r="BC72"/>
  <c r="AY72"/>
  <c r="AZ72" s="1"/>
  <c r="AX72"/>
  <c r="BB71"/>
  <c r="AY70"/>
  <c r="BB75"/>
  <c r="AX69"/>
  <c r="AY69"/>
  <c r="AZ69" s="1"/>
  <c r="BB68"/>
  <c r="BA68"/>
  <c r="AY67"/>
  <c r="BC66"/>
  <c r="AY66"/>
  <c r="AX66"/>
  <c r="BB65"/>
  <c r="AX64"/>
  <c r="BC63"/>
  <c r="AY63"/>
  <c r="BB62"/>
  <c r="AY61"/>
  <c r="BC60"/>
  <c r="AY60"/>
  <c r="AX60"/>
  <c r="BB59"/>
  <c r="AX58"/>
  <c r="BC57"/>
  <c r="AY57"/>
  <c r="BB56"/>
  <c r="BA56"/>
  <c r="AY55"/>
  <c r="BC54"/>
  <c r="AY54"/>
  <c r="AX54"/>
  <c r="AZ54" s="1"/>
  <c r="BB53"/>
  <c r="AX52"/>
  <c r="BC51"/>
  <c r="AY51"/>
  <c r="BB50"/>
  <c r="BB76"/>
  <c r="AY49"/>
  <c r="BC48"/>
  <c r="AY48"/>
  <c r="AX48"/>
  <c r="AZ48" s="1"/>
  <c r="BB47"/>
  <c r="BA47"/>
  <c r="BC46"/>
  <c r="AY46"/>
  <c r="AY47" s="1"/>
  <c r="AX46"/>
  <c r="BC45"/>
  <c r="AY45"/>
  <c r="AX45"/>
  <c r="AZ45" s="1"/>
  <c r="BB44"/>
  <c r="BA44"/>
  <c r="BC43"/>
  <c r="AY43"/>
  <c r="AY44" s="1"/>
  <c r="AX43"/>
  <c r="BC42"/>
  <c r="AY42"/>
  <c r="AX42"/>
  <c r="AZ42" s="1"/>
  <c r="BB41"/>
  <c r="BA41"/>
  <c r="BC40"/>
  <c r="AY40"/>
  <c r="AX40"/>
  <c r="BC39"/>
  <c r="AY39"/>
  <c r="AX39"/>
  <c r="BB38"/>
  <c r="BA38"/>
  <c r="BC37"/>
  <c r="AY37"/>
  <c r="AY38" s="1"/>
  <c r="AX37"/>
  <c r="BC36"/>
  <c r="AY36"/>
  <c r="AX36"/>
  <c r="AZ36" s="1"/>
  <c r="BB35"/>
  <c r="BA35"/>
  <c r="BC34"/>
  <c r="AY34"/>
  <c r="AX34"/>
  <c r="BC33"/>
  <c r="AY33"/>
  <c r="AX33"/>
  <c r="AZ33" s="1"/>
  <c r="BB32"/>
  <c r="BA32"/>
  <c r="BC31"/>
  <c r="AY31"/>
  <c r="AY32" s="1"/>
  <c r="AX31"/>
  <c r="BC30"/>
  <c r="AY30"/>
  <c r="AX30"/>
  <c r="BB29"/>
  <c r="BA29"/>
  <c r="BC28"/>
  <c r="AY28"/>
  <c r="AX28"/>
  <c r="BC27"/>
  <c r="AY27"/>
  <c r="AX27"/>
  <c r="BB26"/>
  <c r="BA26"/>
  <c r="BC25"/>
  <c r="AY25"/>
  <c r="AX25"/>
  <c r="BC24"/>
  <c r="AY24"/>
  <c r="AX24"/>
  <c r="BB23"/>
  <c r="BA23"/>
  <c r="BC22"/>
  <c r="AY22"/>
  <c r="AY23" s="1"/>
  <c r="AX22"/>
  <c r="BC21"/>
  <c r="AY21"/>
  <c r="AX21"/>
  <c r="BB20"/>
  <c r="BA20"/>
  <c r="BC19"/>
  <c r="AY19"/>
  <c r="AX19"/>
  <c r="BC18"/>
  <c r="AY18"/>
  <c r="AX18"/>
  <c r="BB17"/>
  <c r="BA17"/>
  <c r="BC16"/>
  <c r="AY16"/>
  <c r="AX16"/>
  <c r="BC15"/>
  <c r="AY15"/>
  <c r="AX15"/>
  <c r="BB14"/>
  <c r="BA14"/>
  <c r="BC13"/>
  <c r="AY13"/>
  <c r="AX13"/>
  <c r="BC12"/>
  <c r="AY12"/>
  <c r="AX12"/>
  <c r="BB11"/>
  <c r="BA11"/>
  <c r="BC10"/>
  <c r="AY10"/>
  <c r="AX10"/>
  <c r="BC9"/>
  <c r="AY9"/>
  <c r="AX9"/>
  <c r="BB8"/>
  <c r="BA8"/>
  <c r="BC7"/>
  <c r="AY7"/>
  <c r="AX7"/>
  <c r="BC6"/>
  <c r="AY6"/>
  <c r="AY75" s="1"/>
  <c r="AX6"/>
  <c r="BB75" i="2"/>
  <c r="BB74"/>
  <c r="BA74"/>
  <c r="BC73"/>
  <c r="AY73"/>
  <c r="AX73"/>
  <c r="BC72"/>
  <c r="AY72"/>
  <c r="AX72"/>
  <c r="BB71"/>
  <c r="BA71"/>
  <c r="AY70"/>
  <c r="AX70"/>
  <c r="BC69"/>
  <c r="AY69"/>
  <c r="AZ69" s="1"/>
  <c r="AX69"/>
  <c r="BB68"/>
  <c r="BA68"/>
  <c r="BC67"/>
  <c r="AY67"/>
  <c r="AY68" s="1"/>
  <c r="AX67"/>
  <c r="AX68" s="1"/>
  <c r="BC66"/>
  <c r="AY66"/>
  <c r="AZ66" s="1"/>
  <c r="AX66"/>
  <c r="BB65"/>
  <c r="BC64"/>
  <c r="AY64"/>
  <c r="BC63"/>
  <c r="AY63"/>
  <c r="AX63"/>
  <c r="AZ63" s="1"/>
  <c r="BB62"/>
  <c r="BA62"/>
  <c r="AY61"/>
  <c r="BC60"/>
  <c r="AY60"/>
  <c r="AX60"/>
  <c r="BB59"/>
  <c r="BA59"/>
  <c r="BC58"/>
  <c r="AY58"/>
  <c r="AX58"/>
  <c r="BC57"/>
  <c r="AY57"/>
  <c r="AX57"/>
  <c r="AZ57" s="1"/>
  <c r="BB56"/>
  <c r="AX55"/>
  <c r="BA56"/>
  <c r="AY54"/>
  <c r="BB53"/>
  <c r="BA53"/>
  <c r="BC52"/>
  <c r="AY52"/>
  <c r="AY53" s="1"/>
  <c r="AX52"/>
  <c r="AX53" s="1"/>
  <c r="BC51"/>
  <c r="AY51"/>
  <c r="AZ51" s="1"/>
  <c r="AX51"/>
  <c r="BB50"/>
  <c r="BB76"/>
  <c r="AY49"/>
  <c r="BC48"/>
  <c r="AY48"/>
  <c r="AX48"/>
  <c r="BB47"/>
  <c r="BA47"/>
  <c r="BC46"/>
  <c r="AY46"/>
  <c r="AY47" s="1"/>
  <c r="AX46"/>
  <c r="AX47" s="1"/>
  <c r="BC45"/>
  <c r="AY45"/>
  <c r="AX45"/>
  <c r="AZ45" s="1"/>
  <c r="BB44"/>
  <c r="BA44"/>
  <c r="BC43"/>
  <c r="AY43"/>
  <c r="AX43"/>
  <c r="BC42"/>
  <c r="AY42"/>
  <c r="AX42"/>
  <c r="AZ42" s="1"/>
  <c r="BB41"/>
  <c r="BA41"/>
  <c r="BC40"/>
  <c r="AY40"/>
  <c r="AY41" s="1"/>
  <c r="AX40"/>
  <c r="BC39"/>
  <c r="AY39"/>
  <c r="AX39"/>
  <c r="BB38"/>
  <c r="BA38"/>
  <c r="BC37"/>
  <c r="AY37"/>
  <c r="AX37"/>
  <c r="BC36"/>
  <c r="AY36"/>
  <c r="AX36"/>
  <c r="BB35"/>
  <c r="BA35"/>
  <c r="BC34"/>
  <c r="AY34"/>
  <c r="AZ34" s="1"/>
  <c r="AX34"/>
  <c r="AX35" s="1"/>
  <c r="BC33"/>
  <c r="AY33"/>
  <c r="AZ33" s="1"/>
  <c r="AX33"/>
  <c r="BB32"/>
  <c r="BA32"/>
  <c r="BC31"/>
  <c r="AY31"/>
  <c r="AX31"/>
  <c r="BC30"/>
  <c r="AY30"/>
  <c r="AX30"/>
  <c r="BB29"/>
  <c r="BA29"/>
  <c r="BC28"/>
  <c r="AY28"/>
  <c r="AX28"/>
  <c r="BC27"/>
  <c r="AY27"/>
  <c r="AX27"/>
  <c r="BB26"/>
  <c r="BA26"/>
  <c r="BC25"/>
  <c r="AY25"/>
  <c r="AZ25" s="1"/>
  <c r="AX25"/>
  <c r="BC24"/>
  <c r="AY24"/>
  <c r="AX24"/>
  <c r="BB23"/>
  <c r="BA23"/>
  <c r="BC22"/>
  <c r="AY22"/>
  <c r="AX22"/>
  <c r="BC21"/>
  <c r="AY21"/>
  <c r="AX21"/>
  <c r="BB20"/>
  <c r="BA20"/>
  <c r="BC19"/>
  <c r="AY19"/>
  <c r="AX19"/>
  <c r="BC18"/>
  <c r="AY18"/>
  <c r="AX18"/>
  <c r="BB17"/>
  <c r="BA17"/>
  <c r="BC16"/>
  <c r="AY16"/>
  <c r="AX16"/>
  <c r="BC15"/>
  <c r="AY15"/>
  <c r="AX15"/>
  <c r="BB14"/>
  <c r="BA14"/>
  <c r="BC13"/>
  <c r="AY13"/>
  <c r="AX13"/>
  <c r="BC12"/>
  <c r="AY12"/>
  <c r="AX12"/>
  <c r="BB11"/>
  <c r="BA11"/>
  <c r="BC10"/>
  <c r="AY10"/>
  <c r="AX10"/>
  <c r="BC9"/>
  <c r="AY9"/>
  <c r="AX9"/>
  <c r="BB8"/>
  <c r="BA8"/>
  <c r="BC7"/>
  <c r="AY7"/>
  <c r="AX7"/>
  <c r="BC6"/>
  <c r="AY6"/>
  <c r="AZ6" s="1"/>
  <c r="AX6"/>
  <c r="BB79" i="5"/>
  <c r="BA79"/>
  <c r="BB78"/>
  <c r="BA78"/>
  <c r="BB77"/>
  <c r="BA77"/>
  <c r="BC76"/>
  <c r="AY76"/>
  <c r="AX76"/>
  <c r="BC75"/>
  <c r="AY75"/>
  <c r="AX75"/>
  <c r="BB74"/>
  <c r="BA74"/>
  <c r="BC73"/>
  <c r="AY73"/>
  <c r="AX73"/>
  <c r="AX74" s="1"/>
  <c r="BC72"/>
  <c r="AY72"/>
  <c r="AZ72" s="1"/>
  <c r="AX72"/>
  <c r="BB71"/>
  <c r="BA71"/>
  <c r="BC70"/>
  <c r="AY70"/>
  <c r="AZ70" s="1"/>
  <c r="AX70"/>
  <c r="BC69"/>
  <c r="AY69"/>
  <c r="AX69"/>
  <c r="BB68"/>
  <c r="BA68"/>
  <c r="BC67"/>
  <c r="AY67"/>
  <c r="AZ67" s="1"/>
  <c r="AX67"/>
  <c r="BC66"/>
  <c r="AY66"/>
  <c r="AX66"/>
  <c r="BB65"/>
  <c r="BA65"/>
  <c r="BC64"/>
  <c r="AY64"/>
  <c r="AX64"/>
  <c r="BC63"/>
  <c r="AY63"/>
  <c r="AX63"/>
  <c r="BB62"/>
  <c r="BA62"/>
  <c r="BC61"/>
  <c r="AY61"/>
  <c r="AZ61" s="1"/>
  <c r="AX61"/>
  <c r="BC60"/>
  <c r="AY60"/>
  <c r="AX60"/>
  <c r="BB59"/>
  <c r="BA59"/>
  <c r="BC58"/>
  <c r="AY58"/>
  <c r="AZ58" s="1"/>
  <c r="AX58"/>
  <c r="BC57"/>
  <c r="AY57"/>
  <c r="AX57"/>
  <c r="BB56"/>
  <c r="BA56"/>
  <c r="BC55"/>
  <c r="AY55"/>
  <c r="AX55"/>
  <c r="AX56" s="1"/>
  <c r="BC54"/>
  <c r="AY54"/>
  <c r="AZ54" s="1"/>
  <c r="AX54"/>
  <c r="BB53"/>
  <c r="BA53"/>
  <c r="BC52"/>
  <c r="AY52"/>
  <c r="AX52"/>
  <c r="BC51"/>
  <c r="AY51"/>
  <c r="AX51"/>
  <c r="BB50"/>
  <c r="BA50"/>
  <c r="BC49"/>
  <c r="AY49"/>
  <c r="AX49"/>
  <c r="BC48"/>
  <c r="AY48"/>
  <c r="AX48"/>
  <c r="BB47"/>
  <c r="BA47"/>
  <c r="BC46"/>
  <c r="AY46"/>
  <c r="AX46"/>
  <c r="BC45"/>
  <c r="AY45"/>
  <c r="AX45"/>
  <c r="BB44"/>
  <c r="BA44"/>
  <c r="BC43"/>
  <c r="AY43"/>
  <c r="AX43"/>
  <c r="BC42"/>
  <c r="AY42"/>
  <c r="AX42"/>
  <c r="BB41"/>
  <c r="BA41"/>
  <c r="BC40"/>
  <c r="AY40"/>
  <c r="AX40"/>
  <c r="BC39"/>
  <c r="AY39"/>
  <c r="AX39"/>
  <c r="BB38"/>
  <c r="BA38"/>
  <c r="BC37"/>
  <c r="AY37"/>
  <c r="AX37"/>
  <c r="BC36"/>
  <c r="AY36"/>
  <c r="AX36"/>
  <c r="BB35"/>
  <c r="BA35"/>
  <c r="BC34"/>
  <c r="AY34"/>
  <c r="AX34"/>
  <c r="BC33"/>
  <c r="AY33"/>
  <c r="AX33"/>
  <c r="BB32"/>
  <c r="BA32"/>
  <c r="BC31"/>
  <c r="AY31"/>
  <c r="AX31"/>
  <c r="AX32" s="1"/>
  <c r="BC30"/>
  <c r="AY30"/>
  <c r="AZ30" s="1"/>
  <c r="AX30"/>
  <c r="BB29"/>
  <c r="BA29"/>
  <c r="BC28"/>
  <c r="AY28"/>
  <c r="AX28"/>
  <c r="BC27"/>
  <c r="AY27"/>
  <c r="AX27"/>
  <c r="BB26"/>
  <c r="BA26"/>
  <c r="BC25"/>
  <c r="AY25"/>
  <c r="AX25"/>
  <c r="BC24"/>
  <c r="AY24"/>
  <c r="AX24"/>
  <c r="BB23"/>
  <c r="BA23"/>
  <c r="BC22"/>
  <c r="AY22"/>
  <c r="AZ22" s="1"/>
  <c r="AX22"/>
  <c r="AX23" s="1"/>
  <c r="BC21"/>
  <c r="AY21"/>
  <c r="AZ21" s="1"/>
  <c r="AX21"/>
  <c r="BB20"/>
  <c r="BA20"/>
  <c r="BC19"/>
  <c r="AY19"/>
  <c r="AX19"/>
  <c r="BC18"/>
  <c r="AY18"/>
  <c r="AX18"/>
  <c r="BB17"/>
  <c r="BA17"/>
  <c r="BC16"/>
  <c r="AY16"/>
  <c r="AX16"/>
  <c r="AX17" s="1"/>
  <c r="BC15"/>
  <c r="AY15"/>
  <c r="AZ15" s="1"/>
  <c r="AX15"/>
  <c r="BB14"/>
  <c r="BA14"/>
  <c r="BC13"/>
  <c r="AY13"/>
  <c r="AX13"/>
  <c r="BC12"/>
  <c r="AY12"/>
  <c r="AX12"/>
  <c r="BB11"/>
  <c r="BA11"/>
  <c r="BC10"/>
  <c r="AY10"/>
  <c r="AX10"/>
  <c r="BC9"/>
  <c r="AY9"/>
  <c r="AX9"/>
  <c r="BB8"/>
  <c r="BA8"/>
  <c r="BC7"/>
  <c r="AY7"/>
  <c r="AX7"/>
  <c r="AX79" s="1"/>
  <c r="BC6"/>
  <c r="AY6"/>
  <c r="AZ6" s="1"/>
  <c r="AX6"/>
  <c r="AX78" s="1"/>
  <c r="BB79" i="6"/>
  <c r="BA79"/>
  <c r="BB78"/>
  <c r="BA78"/>
  <c r="BB77"/>
  <c r="BA77"/>
  <c r="BC76"/>
  <c r="AY76"/>
  <c r="AZ76" s="1"/>
  <c r="AX76"/>
  <c r="BC75"/>
  <c r="AY75"/>
  <c r="AX75"/>
  <c r="BB74"/>
  <c r="BA74"/>
  <c r="BC73"/>
  <c r="AY73"/>
  <c r="AZ73" s="1"/>
  <c r="AX73"/>
  <c r="AX74" s="1"/>
  <c r="BC72"/>
  <c r="AY72"/>
  <c r="AZ72" s="1"/>
  <c r="AX72"/>
  <c r="BB71"/>
  <c r="BA71"/>
  <c r="BC70"/>
  <c r="AY70"/>
  <c r="AZ70" s="1"/>
  <c r="AX70"/>
  <c r="BC69"/>
  <c r="AY69"/>
  <c r="AX69"/>
  <c r="BB68"/>
  <c r="BA68"/>
  <c r="BC67"/>
  <c r="AY67"/>
  <c r="AZ67" s="1"/>
  <c r="AX67"/>
  <c r="BC66"/>
  <c r="AY66"/>
  <c r="AX66"/>
  <c r="BB65"/>
  <c r="BA65"/>
  <c r="BC64"/>
  <c r="AY64"/>
  <c r="AZ64" s="1"/>
  <c r="AX64"/>
  <c r="BC63"/>
  <c r="AY63"/>
  <c r="AX63"/>
  <c r="BB62"/>
  <c r="BA62"/>
  <c r="BC61"/>
  <c r="AY61"/>
  <c r="AZ61" s="1"/>
  <c r="AX61"/>
  <c r="BC60"/>
  <c r="AY60"/>
  <c r="AX60"/>
  <c r="BB59"/>
  <c r="BA59"/>
  <c r="BC58"/>
  <c r="AY58"/>
  <c r="AZ58" s="1"/>
  <c r="AX58"/>
  <c r="BC57"/>
  <c r="AY57"/>
  <c r="AX57"/>
  <c r="BB56"/>
  <c r="BA56"/>
  <c r="BC55"/>
  <c r="AY55"/>
  <c r="AZ55" s="1"/>
  <c r="AX55"/>
  <c r="BC54"/>
  <c r="AY54"/>
  <c r="AX54"/>
  <c r="BB53"/>
  <c r="BA53"/>
  <c r="BC52"/>
  <c r="AY52"/>
  <c r="AX52"/>
  <c r="BC51"/>
  <c r="AY51"/>
  <c r="AX51"/>
  <c r="BB50"/>
  <c r="BA50"/>
  <c r="BC49"/>
  <c r="AY49"/>
  <c r="AZ49" s="1"/>
  <c r="AX49"/>
  <c r="AX50" s="1"/>
  <c r="BC48"/>
  <c r="AY48"/>
  <c r="AZ48" s="1"/>
  <c r="AX48"/>
  <c r="BB47"/>
  <c r="BA47"/>
  <c r="BC46"/>
  <c r="AY46"/>
  <c r="AZ46" s="1"/>
  <c r="AX46"/>
  <c r="BC45"/>
  <c r="AY45"/>
  <c r="AX45"/>
  <c r="BB44"/>
  <c r="BA44"/>
  <c r="BC43"/>
  <c r="AY43"/>
  <c r="AZ43" s="1"/>
  <c r="AX43"/>
  <c r="BC42"/>
  <c r="AY42"/>
  <c r="AX42"/>
  <c r="BB41"/>
  <c r="BA41"/>
  <c r="BC40"/>
  <c r="AY40"/>
  <c r="AZ40" s="1"/>
  <c r="AX40"/>
  <c r="BC39"/>
  <c r="AY39"/>
  <c r="AX39"/>
  <c r="BB38"/>
  <c r="BA38"/>
  <c r="BC37"/>
  <c r="AY37"/>
  <c r="AZ37" s="1"/>
  <c r="AX37"/>
  <c r="BC36"/>
  <c r="AY36"/>
  <c r="AX36"/>
  <c r="BB35"/>
  <c r="BA35"/>
  <c r="BC34"/>
  <c r="AY34"/>
  <c r="AZ34" s="1"/>
  <c r="AX34"/>
  <c r="BC33"/>
  <c r="AY33"/>
  <c r="AX33"/>
  <c r="BB32"/>
  <c r="BA32"/>
  <c r="BC31"/>
  <c r="AY31"/>
  <c r="AZ31" s="1"/>
  <c r="AX31"/>
  <c r="BC30"/>
  <c r="AY30"/>
  <c r="AX30"/>
  <c r="BB29"/>
  <c r="BA29"/>
  <c r="BC28"/>
  <c r="AY28"/>
  <c r="AZ28" s="1"/>
  <c r="AX28"/>
  <c r="BC27"/>
  <c r="AY27"/>
  <c r="AX27"/>
  <c r="BB26"/>
  <c r="BA26"/>
  <c r="BC25"/>
  <c r="AY25"/>
  <c r="AZ25" s="1"/>
  <c r="AX25"/>
  <c r="AX26" s="1"/>
  <c r="BC24"/>
  <c r="AY24"/>
  <c r="AZ24" s="1"/>
  <c r="AX24"/>
  <c r="BB23"/>
  <c r="BA23"/>
  <c r="BC22"/>
  <c r="AY22"/>
  <c r="AZ22" s="1"/>
  <c r="AX22"/>
  <c r="AX23" s="1"/>
  <c r="BC21"/>
  <c r="AY21"/>
  <c r="AZ21" s="1"/>
  <c r="AX21"/>
  <c r="BB20"/>
  <c r="BA20"/>
  <c r="BC19"/>
  <c r="AY19"/>
  <c r="AZ19" s="1"/>
  <c r="AX19"/>
  <c r="AX20" s="1"/>
  <c r="BC18"/>
  <c r="AY18"/>
  <c r="AZ18" s="1"/>
  <c r="AX18"/>
  <c r="BB17"/>
  <c r="BA17"/>
  <c r="BC16"/>
  <c r="AY16"/>
  <c r="AX16"/>
  <c r="AX79" s="1"/>
  <c r="BC15"/>
  <c r="AY15"/>
  <c r="AZ15" s="1"/>
  <c r="AX15"/>
  <c r="AX78" s="1"/>
  <c r="BB14"/>
  <c r="BA14"/>
  <c r="BC13"/>
  <c r="AY13"/>
  <c r="AZ13" s="1"/>
  <c r="AX13"/>
  <c r="AX14" s="1"/>
  <c r="BC12"/>
  <c r="AY12"/>
  <c r="AZ12" s="1"/>
  <c r="AX12"/>
  <c r="BB11"/>
  <c r="BA11"/>
  <c r="BC10"/>
  <c r="AY10"/>
  <c r="AX10"/>
  <c r="AX11" s="1"/>
  <c r="BC9"/>
  <c r="AY9"/>
  <c r="AZ9" s="1"/>
  <c r="AX9"/>
  <c r="BB8"/>
  <c r="BA8"/>
  <c r="BC7"/>
  <c r="AY7"/>
  <c r="AZ7" s="1"/>
  <c r="AX7"/>
  <c r="AX8" s="1"/>
  <c r="BC6"/>
  <c r="AY6"/>
  <c r="AZ6" s="1"/>
  <c r="AX6"/>
  <c r="BB46" i="3"/>
  <c r="BA46"/>
  <c r="BB45"/>
  <c r="BA45"/>
  <c r="BB44"/>
  <c r="BA44"/>
  <c r="BC43"/>
  <c r="AY43"/>
  <c r="AZ43" s="1"/>
  <c r="AX43"/>
  <c r="BC42"/>
  <c r="AY42"/>
  <c r="AX42"/>
  <c r="BB41"/>
  <c r="BA41"/>
  <c r="BC40"/>
  <c r="AY40"/>
  <c r="AZ40" s="1"/>
  <c r="AX40"/>
  <c r="BC39"/>
  <c r="AY39"/>
  <c r="AX39"/>
  <c r="BB38"/>
  <c r="BA38"/>
  <c r="BC37"/>
  <c r="AY37"/>
  <c r="AX37"/>
  <c r="BC36"/>
  <c r="AY36"/>
  <c r="AX36"/>
  <c r="BB35"/>
  <c r="BA35"/>
  <c r="BC34"/>
  <c r="AY34"/>
  <c r="AZ34" s="1"/>
  <c r="AX34"/>
  <c r="AX35" s="1"/>
  <c r="BC33"/>
  <c r="AY33"/>
  <c r="AZ33" s="1"/>
  <c r="AX33"/>
  <c r="BB32"/>
  <c r="BA32"/>
  <c r="BC31"/>
  <c r="AY31"/>
  <c r="AZ31" s="1"/>
  <c r="AX31"/>
  <c r="BC30"/>
  <c r="AY30"/>
  <c r="AX30"/>
  <c r="BB29"/>
  <c r="BA29"/>
  <c r="BC28"/>
  <c r="AY28"/>
  <c r="AX28"/>
  <c r="BC27"/>
  <c r="AY27"/>
  <c r="AZ27" s="1"/>
  <c r="AX27"/>
  <c r="BB26"/>
  <c r="BA26"/>
  <c r="BC25"/>
  <c r="AY25"/>
  <c r="AZ25" s="1"/>
  <c r="AX25"/>
  <c r="AX26" s="1"/>
  <c r="BC24"/>
  <c r="AY24"/>
  <c r="AZ24" s="1"/>
  <c r="AX24"/>
  <c r="BB23"/>
  <c r="BA23"/>
  <c r="BC22"/>
  <c r="AY22"/>
  <c r="AX22"/>
  <c r="BC21"/>
  <c r="AY21"/>
  <c r="AX21"/>
  <c r="BB20"/>
  <c r="BA20"/>
  <c r="BC19"/>
  <c r="AY19"/>
  <c r="AX19"/>
  <c r="BC18"/>
  <c r="AY18"/>
  <c r="AX18"/>
  <c r="BB17"/>
  <c r="BA17"/>
  <c r="BC16"/>
  <c r="AY16"/>
  <c r="AX16"/>
  <c r="BC15"/>
  <c r="AY15"/>
  <c r="AX15"/>
  <c r="BB14"/>
  <c r="BA14"/>
  <c r="BC13"/>
  <c r="AY13"/>
  <c r="AZ13" s="1"/>
  <c r="AX13"/>
  <c r="AX14" s="1"/>
  <c r="BC12"/>
  <c r="AY12"/>
  <c r="AZ12" s="1"/>
  <c r="AX12"/>
  <c r="BB11"/>
  <c r="BA11"/>
  <c r="BC10"/>
  <c r="AY10"/>
  <c r="AX10"/>
  <c r="BC9"/>
  <c r="AY9"/>
  <c r="AZ9" s="1"/>
  <c r="AX9"/>
  <c r="BB8"/>
  <c r="BA8"/>
  <c r="BC7"/>
  <c r="AY7"/>
  <c r="AX7"/>
  <c r="AX46" s="1"/>
  <c r="BC6"/>
  <c r="AY6"/>
  <c r="AX6"/>
  <c r="AX45" s="1"/>
  <c r="BB46" i="4"/>
  <c r="BA46"/>
  <c r="BB45"/>
  <c r="BA45"/>
  <c r="BB44"/>
  <c r="BA44"/>
  <c r="BC43"/>
  <c r="AY43"/>
  <c r="AZ43" s="1"/>
  <c r="AX43"/>
  <c r="AX44" s="1"/>
  <c r="BC42"/>
  <c r="AY42"/>
  <c r="AZ42" s="1"/>
  <c r="AX42"/>
  <c r="BB41"/>
  <c r="BA41"/>
  <c r="BC40"/>
  <c r="AY40"/>
  <c r="AX40"/>
  <c r="BC39"/>
  <c r="AY39"/>
  <c r="AX39"/>
  <c r="BB38"/>
  <c r="BA38"/>
  <c r="BC37"/>
  <c r="AY37"/>
  <c r="AZ37" s="1"/>
  <c r="AX37"/>
  <c r="BC36"/>
  <c r="AY36"/>
  <c r="AX36"/>
  <c r="BB35"/>
  <c r="BA35"/>
  <c r="BC34"/>
  <c r="AY34"/>
  <c r="AZ34" s="1"/>
  <c r="AX34"/>
  <c r="AX35" s="1"/>
  <c r="BC33"/>
  <c r="AY33"/>
  <c r="AZ33" s="1"/>
  <c r="AX33"/>
  <c r="BB32"/>
  <c r="BA32"/>
  <c r="BC31"/>
  <c r="AY31"/>
  <c r="AZ31" s="1"/>
  <c r="AX31"/>
  <c r="AX32" s="1"/>
  <c r="BC30"/>
  <c r="AY30"/>
  <c r="AZ30" s="1"/>
  <c r="AX30"/>
  <c r="BB29"/>
  <c r="BA29"/>
  <c r="BC28"/>
  <c r="AY28"/>
  <c r="AZ28" s="1"/>
  <c r="AX28"/>
  <c r="AX29" s="1"/>
  <c r="BC27"/>
  <c r="AY27"/>
  <c r="AZ27" s="1"/>
  <c r="AX27"/>
  <c r="BB26"/>
  <c r="BA26"/>
  <c r="BC25"/>
  <c r="AY25"/>
  <c r="AZ25" s="1"/>
  <c r="AX25"/>
  <c r="BC24"/>
  <c r="AY24"/>
  <c r="AX24"/>
  <c r="BB23"/>
  <c r="BA23"/>
  <c r="BC22"/>
  <c r="AY22"/>
  <c r="AX22"/>
  <c r="BC21"/>
  <c r="AY21"/>
  <c r="AX21"/>
  <c r="BB20"/>
  <c r="BA20"/>
  <c r="BC19"/>
  <c r="AY19"/>
  <c r="AZ19" s="1"/>
  <c r="AX19"/>
  <c r="AX20" s="1"/>
  <c r="BC18"/>
  <c r="AY18"/>
  <c r="AZ18" s="1"/>
  <c r="AX18"/>
  <c r="BB17"/>
  <c r="BA17"/>
  <c r="BC16"/>
  <c r="AY16"/>
  <c r="AX16"/>
  <c r="BC15"/>
  <c r="AY15"/>
  <c r="AX15"/>
  <c r="BB14"/>
  <c r="BA14"/>
  <c r="BC13"/>
  <c r="AY13"/>
  <c r="AZ13" s="1"/>
  <c r="AX13"/>
  <c r="AX14" s="1"/>
  <c r="BC12"/>
  <c r="AY12"/>
  <c r="AZ12" s="1"/>
  <c r="AX12"/>
  <c r="BB11"/>
  <c r="BA11"/>
  <c r="BC10"/>
  <c r="AY10"/>
  <c r="AZ10" s="1"/>
  <c r="AX10"/>
  <c r="AX11" s="1"/>
  <c r="BC9"/>
  <c r="AY9"/>
  <c r="AZ9" s="1"/>
  <c r="AX9"/>
  <c r="BB8"/>
  <c r="BA8"/>
  <c r="BC7"/>
  <c r="AY7"/>
  <c r="AX7"/>
  <c r="AX46" s="1"/>
  <c r="BC6"/>
  <c r="AY6"/>
  <c r="AX6"/>
  <c r="AX45" s="1"/>
  <c r="AV69" i="1"/>
  <c r="AV70"/>
  <c r="AV67"/>
  <c r="AV64"/>
  <c r="AV61"/>
  <c r="AV58"/>
  <c r="AV55"/>
  <c r="AV52"/>
  <c r="AV49"/>
  <c r="AV70" i="2"/>
  <c r="AV64"/>
  <c r="AV55"/>
  <c r="AV49"/>
  <c r="AU70" i="1"/>
  <c r="AU69"/>
  <c r="AU67"/>
  <c r="AU66"/>
  <c r="AU64"/>
  <c r="AU63"/>
  <c r="AU61"/>
  <c r="AU60"/>
  <c r="AU58"/>
  <c r="AU57"/>
  <c r="AU55"/>
  <c r="AU54"/>
  <c r="AU52"/>
  <c r="AU51"/>
  <c r="AU49"/>
  <c r="AU48"/>
  <c r="AU60" i="2"/>
  <c r="AU63"/>
  <c r="AU70"/>
  <c r="AU69"/>
  <c r="AU64"/>
  <c r="AU61"/>
  <c r="AU55"/>
  <c r="AW55" s="1"/>
  <c r="AU54"/>
  <c r="AU49"/>
  <c r="AU48"/>
  <c r="AV74" i="1"/>
  <c r="AU74"/>
  <c r="AW73"/>
  <c r="AS73"/>
  <c r="AR73"/>
  <c r="AW72"/>
  <c r="AS72"/>
  <c r="AR72"/>
  <c r="AV71"/>
  <c r="AU71"/>
  <c r="AS70"/>
  <c r="AW69"/>
  <c r="AS69"/>
  <c r="AR69"/>
  <c r="AV68"/>
  <c r="AS67"/>
  <c r="AR67"/>
  <c r="AR68" s="1"/>
  <c r="AW66"/>
  <c r="AU68"/>
  <c r="AS66"/>
  <c r="AR66"/>
  <c r="AV65"/>
  <c r="AR64"/>
  <c r="AW63"/>
  <c r="AS63"/>
  <c r="AV62"/>
  <c r="AU62"/>
  <c r="AS61"/>
  <c r="AW60"/>
  <c r="AS60"/>
  <c r="AR60"/>
  <c r="AT60" s="1"/>
  <c r="AV59"/>
  <c r="AR58"/>
  <c r="AW57"/>
  <c r="AS57"/>
  <c r="AV56"/>
  <c r="AU56"/>
  <c r="AS55"/>
  <c r="AW54"/>
  <c r="AS54"/>
  <c r="AR54"/>
  <c r="AT54" s="1"/>
  <c r="AV53"/>
  <c r="AR52"/>
  <c r="AW51"/>
  <c r="AS51"/>
  <c r="AV50"/>
  <c r="AV76"/>
  <c r="AS49"/>
  <c r="AV75"/>
  <c r="AS48"/>
  <c r="AV47"/>
  <c r="AU47"/>
  <c r="AW46"/>
  <c r="AS46"/>
  <c r="AT46" s="1"/>
  <c r="AR46"/>
  <c r="AR47" s="1"/>
  <c r="AW45"/>
  <c r="AS45"/>
  <c r="AT45" s="1"/>
  <c r="AR45"/>
  <c r="AV44"/>
  <c r="AU44"/>
  <c r="AW43"/>
  <c r="AS43"/>
  <c r="AT43" s="1"/>
  <c r="AR43"/>
  <c r="AR44" s="1"/>
  <c r="AW42"/>
  <c r="AS42"/>
  <c r="AT42" s="1"/>
  <c r="AR42"/>
  <c r="AV41"/>
  <c r="AU41"/>
  <c r="AW40"/>
  <c r="AS40"/>
  <c r="AT40" s="1"/>
  <c r="AR40"/>
  <c r="AW39"/>
  <c r="AS39"/>
  <c r="AR39"/>
  <c r="AV38"/>
  <c r="AU38"/>
  <c r="AW37"/>
  <c r="AS37"/>
  <c r="AR37"/>
  <c r="AW36"/>
  <c r="AS36"/>
  <c r="AR36"/>
  <c r="AV35"/>
  <c r="AU35"/>
  <c r="AW34"/>
  <c r="AS34"/>
  <c r="AR34"/>
  <c r="AW33"/>
  <c r="AS33"/>
  <c r="AR33"/>
  <c r="AV32"/>
  <c r="AU32"/>
  <c r="AW31"/>
  <c r="AS31"/>
  <c r="AR31"/>
  <c r="AR32" s="1"/>
  <c r="AW30"/>
  <c r="AS30"/>
  <c r="AT30" s="1"/>
  <c r="AR30"/>
  <c r="AV29"/>
  <c r="AU29"/>
  <c r="AW28"/>
  <c r="AS28"/>
  <c r="AR28"/>
  <c r="AW27"/>
  <c r="AS27"/>
  <c r="AR27"/>
  <c r="AV26"/>
  <c r="AU26"/>
  <c r="AW25"/>
  <c r="AS25"/>
  <c r="AT25" s="1"/>
  <c r="AR25"/>
  <c r="AR26" s="1"/>
  <c r="AW24"/>
  <c r="AS24"/>
  <c r="AT24" s="1"/>
  <c r="AR24"/>
  <c r="AV23"/>
  <c r="AU23"/>
  <c r="AW22"/>
  <c r="AS22"/>
  <c r="AR22"/>
  <c r="AW21"/>
  <c r="AS21"/>
  <c r="AR21"/>
  <c r="AV20"/>
  <c r="AU20"/>
  <c r="AW19"/>
  <c r="AS19"/>
  <c r="AR19"/>
  <c r="AW18"/>
  <c r="AS18"/>
  <c r="AR18"/>
  <c r="AV17"/>
  <c r="AU17"/>
  <c r="AW16"/>
  <c r="AS16"/>
  <c r="AR16"/>
  <c r="AW15"/>
  <c r="AS15"/>
  <c r="AR15"/>
  <c r="AV14"/>
  <c r="AU14"/>
  <c r="AW13"/>
  <c r="AS13"/>
  <c r="AR13"/>
  <c r="AR14" s="1"/>
  <c r="AW12"/>
  <c r="AS12"/>
  <c r="AT12" s="1"/>
  <c r="AR12"/>
  <c r="AV11"/>
  <c r="AU11"/>
  <c r="AW10"/>
  <c r="AS10"/>
  <c r="AR10"/>
  <c r="AW9"/>
  <c r="AS9"/>
  <c r="AR9"/>
  <c r="AV8"/>
  <c r="AU8"/>
  <c r="AW7"/>
  <c r="AS7"/>
  <c r="AR7"/>
  <c r="AW6"/>
  <c r="AS6"/>
  <c r="AS75" s="1"/>
  <c r="AR6"/>
  <c r="AV74" i="2"/>
  <c r="AU74"/>
  <c r="AW73"/>
  <c r="AS73"/>
  <c r="AR73"/>
  <c r="AW72"/>
  <c r="AS72"/>
  <c r="AR72"/>
  <c r="AV71"/>
  <c r="AU71"/>
  <c r="AS70"/>
  <c r="AW69"/>
  <c r="AS69"/>
  <c r="AR69"/>
  <c r="AV68"/>
  <c r="AU68"/>
  <c r="AW67"/>
  <c r="AS67"/>
  <c r="AS68" s="1"/>
  <c r="AR67"/>
  <c r="AR68" s="1"/>
  <c r="AW66"/>
  <c r="AS66"/>
  <c r="AT66" s="1"/>
  <c r="AR66"/>
  <c r="AV65"/>
  <c r="AW64"/>
  <c r="AS64"/>
  <c r="AW63"/>
  <c r="AS63"/>
  <c r="AW61"/>
  <c r="AS61"/>
  <c r="AV62"/>
  <c r="AW60"/>
  <c r="AS60"/>
  <c r="AV59"/>
  <c r="AU59"/>
  <c r="AW58"/>
  <c r="AS58"/>
  <c r="AS59" s="1"/>
  <c r="AR58"/>
  <c r="AR59" s="1"/>
  <c r="AW57"/>
  <c r="AS57"/>
  <c r="AT57" s="1"/>
  <c r="AR57"/>
  <c r="AV56"/>
  <c r="AS55"/>
  <c r="AW54"/>
  <c r="AS54"/>
  <c r="AV53"/>
  <c r="AU53"/>
  <c r="AW52"/>
  <c r="AS52"/>
  <c r="AS53" s="1"/>
  <c r="AR52"/>
  <c r="AR53" s="1"/>
  <c r="AW51"/>
  <c r="AS51"/>
  <c r="AT51" s="1"/>
  <c r="AR51"/>
  <c r="AV50"/>
  <c r="AV76"/>
  <c r="AS49"/>
  <c r="AV75"/>
  <c r="AS48"/>
  <c r="AV47"/>
  <c r="AU47"/>
  <c r="AW46"/>
  <c r="AS46"/>
  <c r="AS47" s="1"/>
  <c r="AR46"/>
  <c r="AR47" s="1"/>
  <c r="AW45"/>
  <c r="AS45"/>
  <c r="AT45" s="1"/>
  <c r="AR45"/>
  <c r="AV44"/>
  <c r="AU44"/>
  <c r="AW43"/>
  <c r="AS43"/>
  <c r="AS44" s="1"/>
  <c r="AR43"/>
  <c r="AR44" s="1"/>
  <c r="AW42"/>
  <c r="AS42"/>
  <c r="AT42" s="1"/>
  <c r="AR42"/>
  <c r="AV41"/>
  <c r="AU41"/>
  <c r="AW40"/>
  <c r="AS40"/>
  <c r="AS41" s="1"/>
  <c r="AR40"/>
  <c r="AR41" s="1"/>
  <c r="AW39"/>
  <c r="AS39"/>
  <c r="AT39" s="1"/>
  <c r="AR39"/>
  <c r="AV38"/>
  <c r="AU38"/>
  <c r="AW37"/>
  <c r="AS37"/>
  <c r="AS38" s="1"/>
  <c r="AR37"/>
  <c r="AW36"/>
  <c r="AS36"/>
  <c r="AR36"/>
  <c r="AV35"/>
  <c r="AU35"/>
  <c r="AW34"/>
  <c r="AS34"/>
  <c r="AR34"/>
  <c r="AW33"/>
  <c r="AS33"/>
  <c r="AR33"/>
  <c r="AV32"/>
  <c r="AU32"/>
  <c r="AW31"/>
  <c r="AS31"/>
  <c r="AR31"/>
  <c r="AR32" s="1"/>
  <c r="AW30"/>
  <c r="AS30"/>
  <c r="AT30" s="1"/>
  <c r="AR30"/>
  <c r="AV29"/>
  <c r="AU29"/>
  <c r="AW28"/>
  <c r="AS28"/>
  <c r="AR28"/>
  <c r="AW27"/>
  <c r="AS27"/>
  <c r="AR27"/>
  <c r="AV26"/>
  <c r="AU26"/>
  <c r="AW25"/>
  <c r="AS25"/>
  <c r="AR25"/>
  <c r="AW24"/>
  <c r="AS24"/>
  <c r="AR24"/>
  <c r="AV23"/>
  <c r="AU23"/>
  <c r="AW22"/>
  <c r="AS22"/>
  <c r="AR22"/>
  <c r="AW21"/>
  <c r="AS21"/>
  <c r="AR21"/>
  <c r="AV20"/>
  <c r="AU20"/>
  <c r="AW19"/>
  <c r="AS19"/>
  <c r="AR19"/>
  <c r="AW18"/>
  <c r="AS18"/>
  <c r="AR18"/>
  <c r="AV17"/>
  <c r="AU17"/>
  <c r="AW16"/>
  <c r="AS16"/>
  <c r="AR16"/>
  <c r="AW15"/>
  <c r="AS15"/>
  <c r="AR15"/>
  <c r="AV14"/>
  <c r="AU14"/>
  <c r="AW13"/>
  <c r="AS13"/>
  <c r="AR13"/>
  <c r="AW12"/>
  <c r="AS12"/>
  <c r="AR12"/>
  <c r="AV11"/>
  <c r="AU11"/>
  <c r="AW10"/>
  <c r="AS10"/>
  <c r="AR10"/>
  <c r="AW9"/>
  <c r="AS9"/>
  <c r="AR9"/>
  <c r="AV8"/>
  <c r="AU8"/>
  <c r="AW7"/>
  <c r="AS7"/>
  <c r="AR7"/>
  <c r="AW6"/>
  <c r="AS6"/>
  <c r="AS75" s="1"/>
  <c r="AR6"/>
  <c r="AV79" i="5"/>
  <c r="AU79"/>
  <c r="AV78"/>
  <c r="AU78"/>
  <c r="AV77"/>
  <c r="AU77"/>
  <c r="AW76"/>
  <c r="AS76"/>
  <c r="AT76" s="1"/>
  <c r="AR76"/>
  <c r="AW75"/>
  <c r="AS75"/>
  <c r="AR75"/>
  <c r="AV74"/>
  <c r="AU74"/>
  <c r="AW73"/>
  <c r="AS73"/>
  <c r="AT73" s="1"/>
  <c r="AR73"/>
  <c r="AW72"/>
  <c r="AS72"/>
  <c r="AR72"/>
  <c r="AV71"/>
  <c r="AU71"/>
  <c r="AW70"/>
  <c r="AS70"/>
  <c r="AT70" s="1"/>
  <c r="AR70"/>
  <c r="AW69"/>
  <c r="AS69"/>
  <c r="AR69"/>
  <c r="AV68"/>
  <c r="AU68"/>
  <c r="AW67"/>
  <c r="AS67"/>
  <c r="AT67" s="1"/>
  <c r="AR67"/>
  <c r="AW66"/>
  <c r="AS66"/>
  <c r="AR66"/>
  <c r="AV65"/>
  <c r="AU65"/>
  <c r="AW64"/>
  <c r="AS64"/>
  <c r="AT64" s="1"/>
  <c r="AR64"/>
  <c r="AW63"/>
  <c r="AS63"/>
  <c r="AR63"/>
  <c r="AV62"/>
  <c r="AU62"/>
  <c r="AW61"/>
  <c r="AS61"/>
  <c r="AT61" s="1"/>
  <c r="AR61"/>
  <c r="AW60"/>
  <c r="AS60"/>
  <c r="AR60"/>
  <c r="AV59"/>
  <c r="AU59"/>
  <c r="AW58"/>
  <c r="AS58"/>
  <c r="AT58" s="1"/>
  <c r="AR58"/>
  <c r="AW57"/>
  <c r="AS57"/>
  <c r="AR57"/>
  <c r="AV56"/>
  <c r="AU56"/>
  <c r="AW55"/>
  <c r="AS55"/>
  <c r="AT55" s="1"/>
  <c r="AR55"/>
  <c r="AW54"/>
  <c r="AS54"/>
  <c r="AR54"/>
  <c r="AV53"/>
  <c r="AU53"/>
  <c r="AW52"/>
  <c r="AS52"/>
  <c r="AR52"/>
  <c r="AW51"/>
  <c r="AS51"/>
  <c r="AR51"/>
  <c r="AV50"/>
  <c r="AU50"/>
  <c r="AW49"/>
  <c r="AS49"/>
  <c r="AT49" s="1"/>
  <c r="AR49"/>
  <c r="AR50" s="1"/>
  <c r="AW48"/>
  <c r="AS48"/>
  <c r="AT48" s="1"/>
  <c r="AR48"/>
  <c r="AV47"/>
  <c r="AU47"/>
  <c r="AW46"/>
  <c r="AS46"/>
  <c r="AT46" s="1"/>
  <c r="AR46"/>
  <c r="AW45"/>
  <c r="AS45"/>
  <c r="AR45"/>
  <c r="AV44"/>
  <c r="AU44"/>
  <c r="AW43"/>
  <c r="AS43"/>
  <c r="AR43"/>
  <c r="AW42"/>
  <c r="AS42"/>
  <c r="AR42"/>
  <c r="AV41"/>
  <c r="AU41"/>
  <c r="AW40"/>
  <c r="AS40"/>
  <c r="AT40" s="1"/>
  <c r="AR40"/>
  <c r="AR41" s="1"/>
  <c r="AW39"/>
  <c r="AS39"/>
  <c r="AT39" s="1"/>
  <c r="AR39"/>
  <c r="AV38"/>
  <c r="AU38"/>
  <c r="AW37"/>
  <c r="AS37"/>
  <c r="AT37" s="1"/>
  <c r="AR37"/>
  <c r="AW36"/>
  <c r="AS36"/>
  <c r="AT36" s="1"/>
  <c r="AR36"/>
  <c r="AV35"/>
  <c r="AU35"/>
  <c r="AW34"/>
  <c r="AS34"/>
  <c r="AR34"/>
  <c r="AW33"/>
  <c r="AS33"/>
  <c r="AR33"/>
  <c r="AV32"/>
  <c r="AU32"/>
  <c r="AW31"/>
  <c r="AS31"/>
  <c r="AT31" s="1"/>
  <c r="AR31"/>
  <c r="AW30"/>
  <c r="AS30"/>
  <c r="AR30"/>
  <c r="AV29"/>
  <c r="AU29"/>
  <c r="AW28"/>
  <c r="AS28"/>
  <c r="AT28" s="1"/>
  <c r="AR28"/>
  <c r="AR29" s="1"/>
  <c r="AW27"/>
  <c r="AS27"/>
  <c r="AT27" s="1"/>
  <c r="AR27"/>
  <c r="AV26"/>
  <c r="AU26"/>
  <c r="AW25"/>
  <c r="AS25"/>
  <c r="AR25"/>
  <c r="AR26" s="1"/>
  <c r="AW24"/>
  <c r="AS24"/>
  <c r="AT24" s="1"/>
  <c r="AR24"/>
  <c r="AV23"/>
  <c r="AU23"/>
  <c r="AW22"/>
  <c r="AS22"/>
  <c r="AT22" s="1"/>
  <c r="AR22"/>
  <c r="AR23" s="1"/>
  <c r="AW21"/>
  <c r="AS21"/>
  <c r="AT21" s="1"/>
  <c r="AR21"/>
  <c r="AV20"/>
  <c r="AU20"/>
  <c r="AW19"/>
  <c r="AS19"/>
  <c r="AT19" s="1"/>
  <c r="AR19"/>
  <c r="AR20" s="1"/>
  <c r="AW18"/>
  <c r="AS18"/>
  <c r="AT18" s="1"/>
  <c r="AR18"/>
  <c r="AV17"/>
  <c r="AU17"/>
  <c r="AW16"/>
  <c r="AS16"/>
  <c r="AR16"/>
  <c r="AR17" s="1"/>
  <c r="AW15"/>
  <c r="AS15"/>
  <c r="AT15" s="1"/>
  <c r="AR15"/>
  <c r="AV14"/>
  <c r="AU14"/>
  <c r="AW13"/>
  <c r="AS13"/>
  <c r="AR13"/>
  <c r="AW12"/>
  <c r="AS12"/>
  <c r="AR12"/>
  <c r="AV11"/>
  <c r="AU11"/>
  <c r="AW10"/>
  <c r="AS10"/>
  <c r="AR10"/>
  <c r="AR11" s="1"/>
  <c r="AW9"/>
  <c r="AS9"/>
  <c r="AT9" s="1"/>
  <c r="AR9"/>
  <c r="AV8"/>
  <c r="AU8"/>
  <c r="AW7"/>
  <c r="AS7"/>
  <c r="AR7"/>
  <c r="AR79" s="1"/>
  <c r="AW6"/>
  <c r="AS6"/>
  <c r="AR6"/>
  <c r="AR78" s="1"/>
  <c r="AV79" i="6"/>
  <c r="AU79"/>
  <c r="AV78"/>
  <c r="AU78"/>
  <c r="AV77"/>
  <c r="AU77"/>
  <c r="AW76"/>
  <c r="AS76"/>
  <c r="AT76" s="1"/>
  <c r="AR76"/>
  <c r="AR77" s="1"/>
  <c r="AW75"/>
  <c r="AS75"/>
  <c r="AT75" s="1"/>
  <c r="AR75"/>
  <c r="AV74"/>
  <c r="AU74"/>
  <c r="AW73"/>
  <c r="AS73"/>
  <c r="AT73" s="1"/>
  <c r="AR73"/>
  <c r="AW72"/>
  <c r="AS72"/>
  <c r="AR72"/>
  <c r="AV71"/>
  <c r="AU71"/>
  <c r="AW70"/>
  <c r="AS70"/>
  <c r="AT70" s="1"/>
  <c r="AR70"/>
  <c r="AR71" s="1"/>
  <c r="AW69"/>
  <c r="AS69"/>
  <c r="AT69" s="1"/>
  <c r="AR69"/>
  <c r="AV68"/>
  <c r="AU68"/>
  <c r="AW67"/>
  <c r="AS67"/>
  <c r="AT67" s="1"/>
  <c r="AR67"/>
  <c r="AR68" s="1"/>
  <c r="AW66"/>
  <c r="AS66"/>
  <c r="AT66" s="1"/>
  <c r="AR66"/>
  <c r="AV65"/>
  <c r="AU65"/>
  <c r="AW64"/>
  <c r="AS64"/>
  <c r="AT64" s="1"/>
  <c r="AR64"/>
  <c r="AR65" s="1"/>
  <c r="AW63"/>
  <c r="AS63"/>
  <c r="AT63" s="1"/>
  <c r="AR63"/>
  <c r="AV62"/>
  <c r="AU62"/>
  <c r="AW61"/>
  <c r="AS61"/>
  <c r="AR61"/>
  <c r="AR62" s="1"/>
  <c r="AW60"/>
  <c r="AS60"/>
  <c r="AT60" s="1"/>
  <c r="AR60"/>
  <c r="AV59"/>
  <c r="AU59"/>
  <c r="AW58"/>
  <c r="AS58"/>
  <c r="AT58" s="1"/>
  <c r="AR58"/>
  <c r="AW57"/>
  <c r="AS57"/>
  <c r="AR57"/>
  <c r="AV56"/>
  <c r="AU56"/>
  <c r="AW55"/>
  <c r="AS55"/>
  <c r="AT55" s="1"/>
  <c r="AR55"/>
  <c r="AW54"/>
  <c r="AS54"/>
  <c r="AR54"/>
  <c r="AV53"/>
  <c r="AU53"/>
  <c r="AW52"/>
  <c r="AS52"/>
  <c r="AT52" s="1"/>
  <c r="AR52"/>
  <c r="AW51"/>
  <c r="AS51"/>
  <c r="AR51"/>
  <c r="AV50"/>
  <c r="AU50"/>
  <c r="AW49"/>
  <c r="AS49"/>
  <c r="AT49" s="1"/>
  <c r="AR49"/>
  <c r="AR50" s="1"/>
  <c r="AW48"/>
  <c r="AS48"/>
  <c r="AT48" s="1"/>
  <c r="AR48"/>
  <c r="AV47"/>
  <c r="AU47"/>
  <c r="AW46"/>
  <c r="AS46"/>
  <c r="AT46" s="1"/>
  <c r="AR46"/>
  <c r="AW45"/>
  <c r="AS45"/>
  <c r="AR45"/>
  <c r="AV44"/>
  <c r="AU44"/>
  <c r="AW43"/>
  <c r="AS43"/>
  <c r="AT43" s="1"/>
  <c r="AR43"/>
  <c r="AW42"/>
  <c r="AS42"/>
  <c r="AR42"/>
  <c r="AV41"/>
  <c r="AU41"/>
  <c r="AW40"/>
  <c r="AS40"/>
  <c r="AT40" s="1"/>
  <c r="AR40"/>
  <c r="AR41" s="1"/>
  <c r="AW39"/>
  <c r="AS39"/>
  <c r="AT39" s="1"/>
  <c r="AR39"/>
  <c r="AV38"/>
  <c r="AU38"/>
  <c r="AW37"/>
  <c r="AS37"/>
  <c r="AT37" s="1"/>
  <c r="AR37"/>
  <c r="AR38" s="1"/>
  <c r="AW36"/>
  <c r="AS36"/>
  <c r="AT36" s="1"/>
  <c r="AR36"/>
  <c r="AV35"/>
  <c r="AU35"/>
  <c r="AW34"/>
  <c r="AS34"/>
  <c r="AR34"/>
  <c r="AW33"/>
  <c r="AS33"/>
  <c r="AT33" s="1"/>
  <c r="AR33"/>
  <c r="AV32"/>
  <c r="AU32"/>
  <c r="AW31"/>
  <c r="AS31"/>
  <c r="AR31"/>
  <c r="AR32" s="1"/>
  <c r="AW30"/>
  <c r="AS30"/>
  <c r="AT30" s="1"/>
  <c r="AR30"/>
  <c r="AV29"/>
  <c r="AU29"/>
  <c r="AW28"/>
  <c r="AS28"/>
  <c r="AR28"/>
  <c r="AW27"/>
  <c r="AS27"/>
  <c r="AR27"/>
  <c r="AV26"/>
  <c r="AU26"/>
  <c r="AW25"/>
  <c r="AS25"/>
  <c r="AR25"/>
  <c r="AW24"/>
  <c r="AS24"/>
  <c r="AR24"/>
  <c r="AV23"/>
  <c r="AU23"/>
  <c r="AW22"/>
  <c r="AS22"/>
  <c r="AT22" s="1"/>
  <c r="AR22"/>
  <c r="AR23" s="1"/>
  <c r="AW21"/>
  <c r="AS21"/>
  <c r="AT21" s="1"/>
  <c r="AR21"/>
  <c r="AV20"/>
  <c r="AU20"/>
  <c r="AW19"/>
  <c r="AS19"/>
  <c r="AT19" s="1"/>
  <c r="AR19"/>
  <c r="AR20" s="1"/>
  <c r="AW18"/>
  <c r="AS18"/>
  <c r="AT18" s="1"/>
  <c r="AR18"/>
  <c r="AV17"/>
  <c r="AU17"/>
  <c r="AW16"/>
  <c r="AS16"/>
  <c r="AR16"/>
  <c r="AR79" s="1"/>
  <c r="AW15"/>
  <c r="AS15"/>
  <c r="AR15"/>
  <c r="AR78" s="1"/>
  <c r="AV14"/>
  <c r="AU14"/>
  <c r="AW13"/>
  <c r="AS13"/>
  <c r="AT13" s="1"/>
  <c r="AR13"/>
  <c r="AR14" s="1"/>
  <c r="AW12"/>
  <c r="AS12"/>
  <c r="AT12" s="1"/>
  <c r="AR12"/>
  <c r="AV11"/>
  <c r="AU11"/>
  <c r="AW10"/>
  <c r="AS10"/>
  <c r="AR10"/>
  <c r="AR11" s="1"/>
  <c r="AW9"/>
  <c r="AS9"/>
  <c r="AT9" s="1"/>
  <c r="AR9"/>
  <c r="AV8"/>
  <c r="AU8"/>
  <c r="AW7"/>
  <c r="AS7"/>
  <c r="AR7"/>
  <c r="AW6"/>
  <c r="AS6"/>
  <c r="AR6"/>
  <c r="AV46" i="4"/>
  <c r="AU46"/>
  <c r="AV45"/>
  <c r="AU45"/>
  <c r="AV44"/>
  <c r="AU44"/>
  <c r="AW43"/>
  <c r="AS43"/>
  <c r="AT43" s="1"/>
  <c r="AR43"/>
  <c r="AR44" s="1"/>
  <c r="AW42"/>
  <c r="AS42"/>
  <c r="AT42" s="1"/>
  <c r="AR42"/>
  <c r="AV41"/>
  <c r="AU41"/>
  <c r="AW40"/>
  <c r="AS40"/>
  <c r="AT40" s="1"/>
  <c r="AR40"/>
  <c r="AW39"/>
  <c r="AS39"/>
  <c r="AR39"/>
  <c r="AV38"/>
  <c r="AU38"/>
  <c r="AW37"/>
  <c r="AS37"/>
  <c r="AR37"/>
  <c r="AW36"/>
  <c r="AS36"/>
  <c r="AR36"/>
  <c r="AV35"/>
  <c r="AU35"/>
  <c r="AW34"/>
  <c r="AS34"/>
  <c r="AT34" s="1"/>
  <c r="AR34"/>
  <c r="AR35" s="1"/>
  <c r="AW33"/>
  <c r="AS33"/>
  <c r="AT33" s="1"/>
  <c r="AR33"/>
  <c r="AV32"/>
  <c r="AU32"/>
  <c r="AW31"/>
  <c r="AS31"/>
  <c r="AT31" s="1"/>
  <c r="AR31"/>
  <c r="AR32" s="1"/>
  <c r="AW30"/>
  <c r="AS30"/>
  <c r="AT30" s="1"/>
  <c r="AR30"/>
  <c r="AV29"/>
  <c r="AU29"/>
  <c r="AW28"/>
  <c r="AS28"/>
  <c r="AT28" s="1"/>
  <c r="AR28"/>
  <c r="AR29" s="1"/>
  <c r="AW27"/>
  <c r="AS27"/>
  <c r="AT27" s="1"/>
  <c r="AR27"/>
  <c r="AV26"/>
  <c r="AU26"/>
  <c r="AW25"/>
  <c r="AS25"/>
  <c r="AT25" s="1"/>
  <c r="AR25"/>
  <c r="AR26" s="1"/>
  <c r="AW24"/>
  <c r="AS24"/>
  <c r="AT24" s="1"/>
  <c r="AR24"/>
  <c r="AV23"/>
  <c r="AU23"/>
  <c r="AW22"/>
  <c r="AS22"/>
  <c r="AR22"/>
  <c r="AW21"/>
  <c r="AS21"/>
  <c r="AR21"/>
  <c r="AV20"/>
  <c r="AU20"/>
  <c r="AW19"/>
  <c r="AS19"/>
  <c r="AT19" s="1"/>
  <c r="AR19"/>
  <c r="AR20" s="1"/>
  <c r="AW18"/>
  <c r="AS18"/>
  <c r="AT18" s="1"/>
  <c r="AR18"/>
  <c r="AV17"/>
  <c r="AU17"/>
  <c r="AW16"/>
  <c r="AS16"/>
  <c r="AR16"/>
  <c r="AW15"/>
  <c r="AS15"/>
  <c r="AR15"/>
  <c r="AV14"/>
  <c r="AU14"/>
  <c r="AW13"/>
  <c r="AS13"/>
  <c r="AT13" s="1"/>
  <c r="AR13"/>
  <c r="AR14" s="1"/>
  <c r="AW12"/>
  <c r="AS12"/>
  <c r="AT12" s="1"/>
  <c r="AR12"/>
  <c r="AV11"/>
  <c r="AU11"/>
  <c r="AW10"/>
  <c r="AS10"/>
  <c r="AR10"/>
  <c r="AW9"/>
  <c r="AS9"/>
  <c r="AR9"/>
  <c r="AV8"/>
  <c r="AU8"/>
  <c r="AW7"/>
  <c r="AS7"/>
  <c r="AR7"/>
  <c r="AR46" s="1"/>
  <c r="AW6"/>
  <c r="AS6"/>
  <c r="AR6"/>
  <c r="AR45" s="1"/>
  <c r="AV46" i="3"/>
  <c r="AU46"/>
  <c r="AV45"/>
  <c r="AU45"/>
  <c r="AV44"/>
  <c r="AU44"/>
  <c r="AW43"/>
  <c r="AS43"/>
  <c r="AT43" s="1"/>
  <c r="AR43"/>
  <c r="AW42"/>
  <c r="AS42"/>
  <c r="AR42"/>
  <c r="AV41"/>
  <c r="AU41"/>
  <c r="AW40"/>
  <c r="AS40"/>
  <c r="AT40" s="1"/>
  <c r="AR40"/>
  <c r="AR41" s="1"/>
  <c r="AW39"/>
  <c r="AS39"/>
  <c r="AT39" s="1"/>
  <c r="AR39"/>
  <c r="AV38"/>
  <c r="AU38"/>
  <c r="AW37"/>
  <c r="AS37"/>
  <c r="AT37" s="1"/>
  <c r="AR37"/>
  <c r="AW36"/>
  <c r="AS36"/>
  <c r="AR36"/>
  <c r="AV35"/>
  <c r="AU35"/>
  <c r="AW34"/>
  <c r="AS34"/>
  <c r="AT34" s="1"/>
  <c r="AR34"/>
  <c r="AR35" s="1"/>
  <c r="AW33"/>
  <c r="AS33"/>
  <c r="AT33" s="1"/>
  <c r="AR33"/>
  <c r="AV32"/>
  <c r="AU32"/>
  <c r="AW31"/>
  <c r="AS31"/>
  <c r="AR31"/>
  <c r="AW30"/>
  <c r="AS30"/>
  <c r="AR30"/>
  <c r="AV29"/>
  <c r="AU29"/>
  <c r="AW28"/>
  <c r="AS28"/>
  <c r="AT28" s="1"/>
  <c r="AR28"/>
  <c r="AR29" s="1"/>
  <c r="AW27"/>
  <c r="AS27"/>
  <c r="AT27" s="1"/>
  <c r="AR27"/>
  <c r="AV26"/>
  <c r="AU26"/>
  <c r="AW25"/>
  <c r="AS25"/>
  <c r="AT25" s="1"/>
  <c r="AR25"/>
  <c r="AR26" s="1"/>
  <c r="AW24"/>
  <c r="AS24"/>
  <c r="AT24" s="1"/>
  <c r="AR24"/>
  <c r="AV23"/>
  <c r="AU23"/>
  <c r="AW22"/>
  <c r="AS22"/>
  <c r="AR22"/>
  <c r="AW21"/>
  <c r="AS21"/>
  <c r="AR21"/>
  <c r="AV20"/>
  <c r="AU20"/>
  <c r="AW19"/>
  <c r="AS19"/>
  <c r="AT19" s="1"/>
  <c r="AR19"/>
  <c r="AW18"/>
  <c r="AS18"/>
  <c r="AR18"/>
  <c r="AV17"/>
  <c r="AU17"/>
  <c r="AW16"/>
  <c r="AS16"/>
  <c r="AR16"/>
  <c r="AR17" s="1"/>
  <c r="AW15"/>
  <c r="AS15"/>
  <c r="AT15" s="1"/>
  <c r="AR15"/>
  <c r="AV14"/>
  <c r="AU14"/>
  <c r="AW13"/>
  <c r="AS13"/>
  <c r="AT13" s="1"/>
  <c r="AR13"/>
  <c r="AW12"/>
  <c r="AS12"/>
  <c r="AR12"/>
  <c r="AV11"/>
  <c r="AU11"/>
  <c r="AW10"/>
  <c r="AS10"/>
  <c r="AR10"/>
  <c r="AW9"/>
  <c r="AS9"/>
  <c r="AR9"/>
  <c r="AV8"/>
  <c r="AU8"/>
  <c r="AW7"/>
  <c r="AS7"/>
  <c r="AR7"/>
  <c r="AR46" s="1"/>
  <c r="AW6"/>
  <c r="AS6"/>
  <c r="AR6"/>
  <c r="AR45" s="1"/>
  <c r="AP70" i="1"/>
  <c r="AP67"/>
  <c r="AP64"/>
  <c r="AP61"/>
  <c r="AP58"/>
  <c r="AP55"/>
  <c r="AM54"/>
  <c r="AP52"/>
  <c r="AP49"/>
  <c r="AP48"/>
  <c r="AP48" i="2"/>
  <c r="AP70"/>
  <c r="AP71" s="1"/>
  <c r="AP64"/>
  <c r="AP63"/>
  <c r="AP61"/>
  <c r="AP76" s="1"/>
  <c r="AP60"/>
  <c r="AP55"/>
  <c r="AP54"/>
  <c r="AP49"/>
  <c r="AO70" i="1"/>
  <c r="AO69"/>
  <c r="AO67"/>
  <c r="AO66"/>
  <c r="AO64"/>
  <c r="AO63"/>
  <c r="AO61"/>
  <c r="AO60"/>
  <c r="AO58"/>
  <c r="AO57"/>
  <c r="AO55"/>
  <c r="AO54"/>
  <c r="AO52"/>
  <c r="AO51"/>
  <c r="AQ51" s="1"/>
  <c r="AO49"/>
  <c r="AO48"/>
  <c r="AO70" i="2"/>
  <c r="AO69"/>
  <c r="AO64"/>
  <c r="AO63"/>
  <c r="AO61"/>
  <c r="AO60"/>
  <c r="AO55"/>
  <c r="AO54"/>
  <c r="AO49"/>
  <c r="AO48"/>
  <c r="AP74" i="1"/>
  <c r="AO74"/>
  <c r="AQ73"/>
  <c r="AM73"/>
  <c r="AN73" s="1"/>
  <c r="AL73"/>
  <c r="AQ72"/>
  <c r="AM72"/>
  <c r="AL72"/>
  <c r="AP71"/>
  <c r="AO71"/>
  <c r="AM70"/>
  <c r="AQ69"/>
  <c r="AM69"/>
  <c r="AL69"/>
  <c r="AN69" s="1"/>
  <c r="AO68"/>
  <c r="AP68"/>
  <c r="AL67"/>
  <c r="AL66"/>
  <c r="AP65"/>
  <c r="AL64"/>
  <c r="AQ63"/>
  <c r="AM63"/>
  <c r="AP62"/>
  <c r="AO62"/>
  <c r="AM61"/>
  <c r="AQ60"/>
  <c r="AM60"/>
  <c r="AL60"/>
  <c r="AN60" s="1"/>
  <c r="AP59"/>
  <c r="AL58"/>
  <c r="AQ57"/>
  <c r="AM57"/>
  <c r="AP56"/>
  <c r="AO56"/>
  <c r="AM55"/>
  <c r="AQ54"/>
  <c r="AL54"/>
  <c r="AP53"/>
  <c r="AL52"/>
  <c r="AM51"/>
  <c r="AP50"/>
  <c r="AP76"/>
  <c r="AM49"/>
  <c r="AQ48"/>
  <c r="AM48"/>
  <c r="AL48"/>
  <c r="AN48" s="1"/>
  <c r="AP47"/>
  <c r="AO47"/>
  <c r="AQ46"/>
  <c r="AM46"/>
  <c r="AM47" s="1"/>
  <c r="AL46"/>
  <c r="AQ45"/>
  <c r="AM45"/>
  <c r="AL45"/>
  <c r="AN45" s="1"/>
  <c r="AP44"/>
  <c r="AO44"/>
  <c r="AQ43"/>
  <c r="AM43"/>
  <c r="AM44" s="1"/>
  <c r="AL43"/>
  <c r="AL44" s="1"/>
  <c r="AQ42"/>
  <c r="AM42"/>
  <c r="AL42"/>
  <c r="AN42" s="1"/>
  <c r="AP41"/>
  <c r="AO41"/>
  <c r="AQ40"/>
  <c r="AM40"/>
  <c r="AM41" s="1"/>
  <c r="AL40"/>
  <c r="AQ39"/>
  <c r="AM39"/>
  <c r="AL39"/>
  <c r="AN39" s="1"/>
  <c r="AP38"/>
  <c r="AO38"/>
  <c r="AQ37"/>
  <c r="AM37"/>
  <c r="AL37"/>
  <c r="AQ36"/>
  <c r="AM36"/>
  <c r="AL36"/>
  <c r="AN36" s="1"/>
  <c r="AP35"/>
  <c r="AO35"/>
  <c r="AQ34"/>
  <c r="AM34"/>
  <c r="AM35" s="1"/>
  <c r="AL34"/>
  <c r="AQ33"/>
  <c r="AM33"/>
  <c r="AL33"/>
  <c r="AN33" s="1"/>
  <c r="AP32"/>
  <c r="AO32"/>
  <c r="AQ31"/>
  <c r="AM31"/>
  <c r="AL31"/>
  <c r="AQ30"/>
  <c r="AM30"/>
  <c r="AL30"/>
  <c r="AN30" s="1"/>
  <c r="AP29"/>
  <c r="AO29"/>
  <c r="AQ28"/>
  <c r="AM28"/>
  <c r="AL28"/>
  <c r="AQ27"/>
  <c r="AM27"/>
  <c r="AL27"/>
  <c r="AP26"/>
  <c r="AO26"/>
  <c r="AQ25"/>
  <c r="AM25"/>
  <c r="AL25"/>
  <c r="AQ24"/>
  <c r="AM24"/>
  <c r="AL24"/>
  <c r="AP23"/>
  <c r="AO23"/>
  <c r="AQ22"/>
  <c r="AM22"/>
  <c r="AL22"/>
  <c r="AQ21"/>
  <c r="AM21"/>
  <c r="AL21"/>
  <c r="AP20"/>
  <c r="AO20"/>
  <c r="AQ19"/>
  <c r="AM19"/>
  <c r="AL19"/>
  <c r="AQ18"/>
  <c r="AM18"/>
  <c r="AL18"/>
  <c r="AP17"/>
  <c r="AO17"/>
  <c r="AQ16"/>
  <c r="AM16"/>
  <c r="AL16"/>
  <c r="AQ15"/>
  <c r="AM15"/>
  <c r="AL15"/>
  <c r="AP14"/>
  <c r="AO14"/>
  <c r="AQ13"/>
  <c r="AM13"/>
  <c r="AL13"/>
  <c r="AL14" s="1"/>
  <c r="AQ12"/>
  <c r="AM12"/>
  <c r="AL12"/>
  <c r="AP11"/>
  <c r="AO11"/>
  <c r="AQ10"/>
  <c r="AM10"/>
  <c r="AL10"/>
  <c r="AQ9"/>
  <c r="AM9"/>
  <c r="AL9"/>
  <c r="AN9" s="1"/>
  <c r="AP8"/>
  <c r="AO8"/>
  <c r="AQ7"/>
  <c r="AM7"/>
  <c r="AL7"/>
  <c r="AQ6"/>
  <c r="AM6"/>
  <c r="AL6"/>
  <c r="AP75" i="2"/>
  <c r="AP74"/>
  <c r="AO74"/>
  <c r="AQ73"/>
  <c r="AM73"/>
  <c r="AM74" s="1"/>
  <c r="AL73"/>
  <c r="AQ72"/>
  <c r="AM72"/>
  <c r="AL72"/>
  <c r="AN72" s="1"/>
  <c r="AO71"/>
  <c r="AQ69"/>
  <c r="AM69"/>
  <c r="AL69"/>
  <c r="AP68"/>
  <c r="AO68"/>
  <c r="AQ67"/>
  <c r="AM67"/>
  <c r="AN67" s="1"/>
  <c r="AL67"/>
  <c r="AL68" s="1"/>
  <c r="AQ66"/>
  <c r="AM66"/>
  <c r="AN66" s="1"/>
  <c r="AL66"/>
  <c r="AP65"/>
  <c r="AO65"/>
  <c r="AM64"/>
  <c r="AL64"/>
  <c r="AL65" s="1"/>
  <c r="AQ63"/>
  <c r="AM63"/>
  <c r="AL63"/>
  <c r="AN63" s="1"/>
  <c r="AP62"/>
  <c r="AO62"/>
  <c r="AL61"/>
  <c r="AQ60"/>
  <c r="AM60"/>
  <c r="AP59"/>
  <c r="AO59"/>
  <c r="AQ58"/>
  <c r="AM58"/>
  <c r="AL58"/>
  <c r="AQ57"/>
  <c r="AM57"/>
  <c r="AL57"/>
  <c r="AP56"/>
  <c r="AO56"/>
  <c r="AM55"/>
  <c r="AQ54"/>
  <c r="AM54"/>
  <c r="AL54"/>
  <c r="AN54" s="1"/>
  <c r="AP53"/>
  <c r="AO53"/>
  <c r="AQ52"/>
  <c r="AM52"/>
  <c r="AM53" s="1"/>
  <c r="AL52"/>
  <c r="AL53" s="1"/>
  <c r="AQ51"/>
  <c r="AM51"/>
  <c r="AN51" s="1"/>
  <c r="AL51"/>
  <c r="AM49"/>
  <c r="AL49"/>
  <c r="AQ48"/>
  <c r="AM48"/>
  <c r="AL48"/>
  <c r="AP47"/>
  <c r="AO47"/>
  <c r="AQ46"/>
  <c r="AM46"/>
  <c r="AN46" s="1"/>
  <c r="AL46"/>
  <c r="AL47" s="1"/>
  <c r="AQ45"/>
  <c r="AM45"/>
  <c r="AN45" s="1"/>
  <c r="AL45"/>
  <c r="AP44"/>
  <c r="AO44"/>
  <c r="AQ43"/>
  <c r="AM43"/>
  <c r="AN43" s="1"/>
  <c r="AL43"/>
  <c r="AQ42"/>
  <c r="AM42"/>
  <c r="AL42"/>
  <c r="AP41"/>
  <c r="AO41"/>
  <c r="AQ40"/>
  <c r="AM40"/>
  <c r="AN40" s="1"/>
  <c r="AL40"/>
  <c r="AL41" s="1"/>
  <c r="AQ39"/>
  <c r="AM39"/>
  <c r="AN39" s="1"/>
  <c r="AL39"/>
  <c r="AP38"/>
  <c r="AO38"/>
  <c r="AQ37"/>
  <c r="AM37"/>
  <c r="AL37"/>
  <c r="AQ36"/>
  <c r="AM36"/>
  <c r="AL36"/>
  <c r="AP35"/>
  <c r="AO35"/>
  <c r="AQ34"/>
  <c r="AM34"/>
  <c r="AN34" s="1"/>
  <c r="AL34"/>
  <c r="AL35" s="1"/>
  <c r="AQ33"/>
  <c r="AM33"/>
  <c r="AN33" s="1"/>
  <c r="AL33"/>
  <c r="AP32"/>
  <c r="AO32"/>
  <c r="AQ31"/>
  <c r="AM31"/>
  <c r="AL31"/>
  <c r="AQ30"/>
  <c r="AM30"/>
  <c r="AL30"/>
  <c r="AP29"/>
  <c r="AO29"/>
  <c r="AQ28"/>
  <c r="AM28"/>
  <c r="AL28"/>
  <c r="AL29" s="1"/>
  <c r="AQ27"/>
  <c r="AM27"/>
  <c r="AN27" s="1"/>
  <c r="AL27"/>
  <c r="AP26"/>
  <c r="AO26"/>
  <c r="AQ25"/>
  <c r="AM25"/>
  <c r="AL25"/>
  <c r="AQ24"/>
  <c r="AM24"/>
  <c r="AL24"/>
  <c r="AP23"/>
  <c r="AO23"/>
  <c r="AQ22"/>
  <c r="AM22"/>
  <c r="AL22"/>
  <c r="AQ21"/>
  <c r="AM21"/>
  <c r="AL21"/>
  <c r="AP20"/>
  <c r="AO20"/>
  <c r="AQ19"/>
  <c r="AM19"/>
  <c r="AL19"/>
  <c r="AQ18"/>
  <c r="AM18"/>
  <c r="AL18"/>
  <c r="AP17"/>
  <c r="AO17"/>
  <c r="AQ16"/>
  <c r="AM16"/>
  <c r="AL16"/>
  <c r="AQ15"/>
  <c r="AM15"/>
  <c r="AL15"/>
  <c r="AP14"/>
  <c r="AO14"/>
  <c r="AQ13"/>
  <c r="AM13"/>
  <c r="AL13"/>
  <c r="AQ12"/>
  <c r="AM12"/>
  <c r="AL12"/>
  <c r="AP11"/>
  <c r="AO11"/>
  <c r="AQ10"/>
  <c r="AM10"/>
  <c r="AL10"/>
  <c r="AQ9"/>
  <c r="AM9"/>
  <c r="AL9"/>
  <c r="AP8"/>
  <c r="AO8"/>
  <c r="AQ7"/>
  <c r="AM7"/>
  <c r="AL7"/>
  <c r="AQ6"/>
  <c r="AM6"/>
  <c r="AL6"/>
  <c r="AP79" i="5"/>
  <c r="AO79"/>
  <c r="AP78"/>
  <c r="AO78"/>
  <c r="AO80" s="1"/>
  <c r="AP77"/>
  <c r="AO77"/>
  <c r="AQ76"/>
  <c r="AM76"/>
  <c r="AL76"/>
  <c r="AQ75"/>
  <c r="AM75"/>
  <c r="AL75"/>
  <c r="AP74"/>
  <c r="AO74"/>
  <c r="AQ73"/>
  <c r="AM73"/>
  <c r="AL73"/>
  <c r="AQ72"/>
  <c r="AM72"/>
  <c r="AL72"/>
  <c r="AP71"/>
  <c r="AO71"/>
  <c r="AQ70"/>
  <c r="AM70"/>
  <c r="AL70"/>
  <c r="AQ69"/>
  <c r="AM69"/>
  <c r="AL69"/>
  <c r="AN69" s="1"/>
  <c r="AP68"/>
  <c r="AO68"/>
  <c r="AQ67"/>
  <c r="AM67"/>
  <c r="AL67"/>
  <c r="AQ66"/>
  <c r="AM66"/>
  <c r="AL66"/>
  <c r="AP65"/>
  <c r="AO65"/>
  <c r="AQ64"/>
  <c r="AM64"/>
  <c r="AL64"/>
  <c r="AL65" s="1"/>
  <c r="AQ63"/>
  <c r="AM63"/>
  <c r="AL63"/>
  <c r="AP62"/>
  <c r="AO62"/>
  <c r="AQ61"/>
  <c r="AM61"/>
  <c r="AL61"/>
  <c r="AQ60"/>
  <c r="AM60"/>
  <c r="AL60"/>
  <c r="AP59"/>
  <c r="AO59"/>
  <c r="AQ58"/>
  <c r="AM58"/>
  <c r="AL58"/>
  <c r="AQ57"/>
  <c r="AM57"/>
  <c r="AL57"/>
  <c r="AN57" s="1"/>
  <c r="AP56"/>
  <c r="AO56"/>
  <c r="AQ55"/>
  <c r="AM55"/>
  <c r="AL55"/>
  <c r="AQ54"/>
  <c r="AM54"/>
  <c r="AL54"/>
  <c r="AN54" s="1"/>
  <c r="AP53"/>
  <c r="AO53"/>
  <c r="AQ52"/>
  <c r="AM52"/>
  <c r="AL52"/>
  <c r="AL53" s="1"/>
  <c r="AQ51"/>
  <c r="AM51"/>
  <c r="AL51"/>
  <c r="AN51" s="1"/>
  <c r="AP50"/>
  <c r="AO50"/>
  <c r="AQ49"/>
  <c r="AM49"/>
  <c r="AL49"/>
  <c r="AQ48"/>
  <c r="AM48"/>
  <c r="AL48"/>
  <c r="AN48" s="1"/>
  <c r="AP47"/>
  <c r="AO47"/>
  <c r="AQ46"/>
  <c r="AM46"/>
  <c r="AL46"/>
  <c r="AQ45"/>
  <c r="AM45"/>
  <c r="AL45"/>
  <c r="AN45" s="1"/>
  <c r="AP44"/>
  <c r="AO44"/>
  <c r="AQ43"/>
  <c r="AM43"/>
  <c r="AL43"/>
  <c r="AQ42"/>
  <c r="AM42"/>
  <c r="AL42"/>
  <c r="AN42" s="1"/>
  <c r="AP41"/>
  <c r="AO41"/>
  <c r="AQ40"/>
  <c r="AM40"/>
  <c r="AL40"/>
  <c r="AQ39"/>
  <c r="AM39"/>
  <c r="AL39"/>
  <c r="AP38"/>
  <c r="AO38"/>
  <c r="AQ37"/>
  <c r="AM37"/>
  <c r="AL37"/>
  <c r="AL38" s="1"/>
  <c r="AQ36"/>
  <c r="AM36"/>
  <c r="AL36"/>
  <c r="AP35"/>
  <c r="AO35"/>
  <c r="AQ34"/>
  <c r="AM34"/>
  <c r="AL34"/>
  <c r="AQ33"/>
  <c r="AM33"/>
  <c r="AL33"/>
  <c r="AN33" s="1"/>
  <c r="AP32"/>
  <c r="AO32"/>
  <c r="AQ31"/>
  <c r="AM31"/>
  <c r="AL31"/>
  <c r="AQ30"/>
  <c r="AM30"/>
  <c r="AL30"/>
  <c r="AN30" s="1"/>
  <c r="AP29"/>
  <c r="AO29"/>
  <c r="AQ28"/>
  <c r="AM28"/>
  <c r="AL28"/>
  <c r="AL29" s="1"/>
  <c r="AQ27"/>
  <c r="AM27"/>
  <c r="AL27"/>
  <c r="AP26"/>
  <c r="AO26"/>
  <c r="AQ25"/>
  <c r="AM25"/>
  <c r="AL25"/>
  <c r="AQ24"/>
  <c r="AM24"/>
  <c r="AL24"/>
  <c r="AN24" s="1"/>
  <c r="AP23"/>
  <c r="AO23"/>
  <c r="AQ22"/>
  <c r="AM22"/>
  <c r="AM23" s="1"/>
  <c r="AL22"/>
  <c r="AL23" s="1"/>
  <c r="AQ21"/>
  <c r="AM21"/>
  <c r="AL21"/>
  <c r="AN21" s="1"/>
  <c r="AP20"/>
  <c r="AO20"/>
  <c r="AQ19"/>
  <c r="AM19"/>
  <c r="AL19"/>
  <c r="AQ18"/>
  <c r="AM18"/>
  <c r="AL18"/>
  <c r="AN18" s="1"/>
  <c r="AP17"/>
  <c r="AO17"/>
  <c r="AQ16"/>
  <c r="AM16"/>
  <c r="AL16"/>
  <c r="AL17" s="1"/>
  <c r="AQ15"/>
  <c r="AM15"/>
  <c r="AL15"/>
  <c r="AN15" s="1"/>
  <c r="AP14"/>
  <c r="AO14"/>
  <c r="AQ13"/>
  <c r="AM13"/>
  <c r="AM14" s="1"/>
  <c r="AL13"/>
  <c r="AL14" s="1"/>
  <c r="AQ12"/>
  <c r="AM12"/>
  <c r="AL12"/>
  <c r="AN12" s="1"/>
  <c r="AP11"/>
  <c r="AO11"/>
  <c r="AQ10"/>
  <c r="AM10"/>
  <c r="AL10"/>
  <c r="AL11" s="1"/>
  <c r="AQ9"/>
  <c r="AM9"/>
  <c r="AL9"/>
  <c r="AN9" s="1"/>
  <c r="AP8"/>
  <c r="AO8"/>
  <c r="AQ7"/>
  <c r="AM7"/>
  <c r="AM79" s="1"/>
  <c r="AL7"/>
  <c r="AL79" s="1"/>
  <c r="AQ6"/>
  <c r="AM6"/>
  <c r="AM78" s="1"/>
  <c r="AL6"/>
  <c r="AL78" s="1"/>
  <c r="AP79" i="6"/>
  <c r="AO79"/>
  <c r="AP78"/>
  <c r="AO78"/>
  <c r="AP77"/>
  <c r="AO77"/>
  <c r="AQ76"/>
  <c r="AM76"/>
  <c r="AN76" s="1"/>
  <c r="AL76"/>
  <c r="AQ75"/>
  <c r="AM75"/>
  <c r="AL75"/>
  <c r="AP74"/>
  <c r="AO74"/>
  <c r="AQ73"/>
  <c r="AM73"/>
  <c r="AN73" s="1"/>
  <c r="AL73"/>
  <c r="AL74" s="1"/>
  <c r="AQ72"/>
  <c r="AM72"/>
  <c r="AN72" s="1"/>
  <c r="AL72"/>
  <c r="AP71"/>
  <c r="AO71"/>
  <c r="AQ70"/>
  <c r="AM70"/>
  <c r="AN70" s="1"/>
  <c r="AL70"/>
  <c r="AL71" s="1"/>
  <c r="AQ69"/>
  <c r="AM69"/>
  <c r="AN69" s="1"/>
  <c r="AL69"/>
  <c r="AP68"/>
  <c r="AO68"/>
  <c r="AQ67"/>
  <c r="AM67"/>
  <c r="AN67" s="1"/>
  <c r="AL67"/>
  <c r="AQ66"/>
  <c r="AM66"/>
  <c r="AL66"/>
  <c r="AP65"/>
  <c r="AO65"/>
  <c r="AQ64"/>
  <c r="AM64"/>
  <c r="AN64" s="1"/>
  <c r="AL64"/>
  <c r="AL65" s="1"/>
  <c r="AQ63"/>
  <c r="AM63"/>
  <c r="AN63" s="1"/>
  <c r="AL63"/>
  <c r="AP62"/>
  <c r="AO62"/>
  <c r="AQ61"/>
  <c r="AM61"/>
  <c r="AN61" s="1"/>
  <c r="AL61"/>
  <c r="AL62" s="1"/>
  <c r="AQ60"/>
  <c r="AM60"/>
  <c r="AN60" s="1"/>
  <c r="AL60"/>
  <c r="AP59"/>
  <c r="AO59"/>
  <c r="AQ58"/>
  <c r="AM58"/>
  <c r="AL58"/>
  <c r="AQ57"/>
  <c r="AM57"/>
  <c r="AL57"/>
  <c r="AP56"/>
  <c r="AO56"/>
  <c r="AQ55"/>
  <c r="AM55"/>
  <c r="AL55"/>
  <c r="AQ54"/>
  <c r="AM54"/>
  <c r="AL54"/>
  <c r="AP53"/>
  <c r="AO53"/>
  <c r="AQ52"/>
  <c r="AM52"/>
  <c r="AN52" s="1"/>
  <c r="AL52"/>
  <c r="AQ51"/>
  <c r="AM51"/>
  <c r="AL51"/>
  <c r="AP50"/>
  <c r="AO50"/>
  <c r="AQ49"/>
  <c r="AM49"/>
  <c r="AN49" s="1"/>
  <c r="AL49"/>
  <c r="AL50" s="1"/>
  <c r="AQ48"/>
  <c r="AM48"/>
  <c r="AN48" s="1"/>
  <c r="AL48"/>
  <c r="AP47"/>
  <c r="AO47"/>
  <c r="AQ46"/>
  <c r="AM46"/>
  <c r="AN46" s="1"/>
  <c r="AL46"/>
  <c r="AQ45"/>
  <c r="AM45"/>
  <c r="AL45"/>
  <c r="AP44"/>
  <c r="AO44"/>
  <c r="AQ43"/>
  <c r="AM43"/>
  <c r="AN43" s="1"/>
  <c r="AL43"/>
  <c r="AQ42"/>
  <c r="AM42"/>
  <c r="AL42"/>
  <c r="AP41"/>
  <c r="AO41"/>
  <c r="AQ40"/>
  <c r="AM40"/>
  <c r="AN40" s="1"/>
  <c r="AL40"/>
  <c r="AQ39"/>
  <c r="AM39"/>
  <c r="AL39"/>
  <c r="AP38"/>
  <c r="AO38"/>
  <c r="AQ37"/>
  <c r="AM37"/>
  <c r="AN37" s="1"/>
  <c r="AL37"/>
  <c r="AQ36"/>
  <c r="AM36"/>
  <c r="AL36"/>
  <c r="AP35"/>
  <c r="AO35"/>
  <c r="AQ34"/>
  <c r="AM34"/>
  <c r="AL34"/>
  <c r="AQ33"/>
  <c r="AM33"/>
  <c r="AL33"/>
  <c r="AP32"/>
  <c r="AO32"/>
  <c r="AQ31"/>
  <c r="AM31"/>
  <c r="AL31"/>
  <c r="AQ30"/>
  <c r="AM30"/>
  <c r="AL30"/>
  <c r="AP29"/>
  <c r="AO29"/>
  <c r="AQ28"/>
  <c r="AM28"/>
  <c r="AN28" s="1"/>
  <c r="AL28"/>
  <c r="AQ27"/>
  <c r="AM27"/>
  <c r="AL27"/>
  <c r="AP26"/>
  <c r="AO26"/>
  <c r="AQ25"/>
  <c r="AM25"/>
  <c r="AN25" s="1"/>
  <c r="AL25"/>
  <c r="AL26" s="1"/>
  <c r="AQ24"/>
  <c r="AM24"/>
  <c r="AN24" s="1"/>
  <c r="AL24"/>
  <c r="AP23"/>
  <c r="AO23"/>
  <c r="AQ22"/>
  <c r="AM22"/>
  <c r="AN22" s="1"/>
  <c r="AL22"/>
  <c r="AL23" s="1"/>
  <c r="AQ21"/>
  <c r="AM21"/>
  <c r="AN21" s="1"/>
  <c r="AL21"/>
  <c r="AP20"/>
  <c r="AO20"/>
  <c r="AQ19"/>
  <c r="AM19"/>
  <c r="AN19" s="1"/>
  <c r="AL19"/>
  <c r="AL20" s="1"/>
  <c r="AQ18"/>
  <c r="AM18"/>
  <c r="AN18" s="1"/>
  <c r="AL18"/>
  <c r="AP17"/>
  <c r="AO17"/>
  <c r="AQ16"/>
  <c r="AM16"/>
  <c r="AL16"/>
  <c r="AL79" s="1"/>
  <c r="AQ15"/>
  <c r="AM15"/>
  <c r="AL15"/>
  <c r="AL78" s="1"/>
  <c r="AP14"/>
  <c r="AO14"/>
  <c r="AQ13"/>
  <c r="AM13"/>
  <c r="AN13" s="1"/>
  <c r="AL13"/>
  <c r="AL14" s="1"/>
  <c r="AQ12"/>
  <c r="AM12"/>
  <c r="AN12" s="1"/>
  <c r="AL12"/>
  <c r="AP11"/>
  <c r="AO11"/>
  <c r="AQ10"/>
  <c r="AM10"/>
  <c r="AN10" s="1"/>
  <c r="AL10"/>
  <c r="AL11" s="1"/>
  <c r="AQ9"/>
  <c r="AM9"/>
  <c r="AN9" s="1"/>
  <c r="AL9"/>
  <c r="AP8"/>
  <c r="AO8"/>
  <c r="AQ7"/>
  <c r="AM7"/>
  <c r="AL7"/>
  <c r="AQ6"/>
  <c r="AM6"/>
  <c r="AL6"/>
  <c r="AO20" i="3"/>
  <c r="AP46"/>
  <c r="AO46"/>
  <c r="AP45"/>
  <c r="AO45"/>
  <c r="AP44"/>
  <c r="AO44"/>
  <c r="AQ43"/>
  <c r="AM43"/>
  <c r="AL43"/>
  <c r="AQ42"/>
  <c r="AM42"/>
  <c r="AL42"/>
  <c r="AP41"/>
  <c r="AO41"/>
  <c r="AQ40"/>
  <c r="AM40"/>
  <c r="AN40" s="1"/>
  <c r="AL40"/>
  <c r="AQ39"/>
  <c r="AM39"/>
  <c r="AL39"/>
  <c r="AP38"/>
  <c r="AO38"/>
  <c r="AQ37"/>
  <c r="AM37"/>
  <c r="AN37" s="1"/>
  <c r="AL37"/>
  <c r="AQ36"/>
  <c r="AM36"/>
  <c r="AL36"/>
  <c r="AP35"/>
  <c r="AO35"/>
  <c r="AQ34"/>
  <c r="AM34"/>
  <c r="AN34" s="1"/>
  <c r="AL34"/>
  <c r="AL35" s="1"/>
  <c r="AQ33"/>
  <c r="AM33"/>
  <c r="AN33" s="1"/>
  <c r="AL33"/>
  <c r="AP32"/>
  <c r="AO32"/>
  <c r="AQ31"/>
  <c r="AM31"/>
  <c r="AN31" s="1"/>
  <c r="AL31"/>
  <c r="AQ30"/>
  <c r="AM30"/>
  <c r="AL30"/>
  <c r="AP29"/>
  <c r="AO29"/>
  <c r="AQ28"/>
  <c r="AM28"/>
  <c r="AN28" s="1"/>
  <c r="AL28"/>
  <c r="AQ27"/>
  <c r="AM27"/>
  <c r="AL27"/>
  <c r="AP26"/>
  <c r="AO26"/>
  <c r="AQ25"/>
  <c r="AM25"/>
  <c r="AN25" s="1"/>
  <c r="AL25"/>
  <c r="AL26" s="1"/>
  <c r="AQ24"/>
  <c r="AM24"/>
  <c r="AN24" s="1"/>
  <c r="AL24"/>
  <c r="AP23"/>
  <c r="AO23"/>
  <c r="AQ22"/>
  <c r="AM22"/>
  <c r="AN22" s="1"/>
  <c r="AL22"/>
  <c r="AQ21"/>
  <c r="AM21"/>
  <c r="AL21"/>
  <c r="AP20"/>
  <c r="AQ19"/>
  <c r="AM19"/>
  <c r="AL19"/>
  <c r="AQ18"/>
  <c r="AM18"/>
  <c r="AL18"/>
  <c r="AP17"/>
  <c r="AO17"/>
  <c r="AQ16"/>
  <c r="AM16"/>
  <c r="AN16" s="1"/>
  <c r="AL16"/>
  <c r="AQ15"/>
  <c r="AM15"/>
  <c r="AL15"/>
  <c r="AP14"/>
  <c r="AO14"/>
  <c r="AQ13"/>
  <c r="AM13"/>
  <c r="AN13" s="1"/>
  <c r="AL13"/>
  <c r="AL14" s="1"/>
  <c r="AQ12"/>
  <c r="AM12"/>
  <c r="AN12" s="1"/>
  <c r="AL12"/>
  <c r="AP11"/>
  <c r="AO11"/>
  <c r="AQ10"/>
  <c r="AM10"/>
  <c r="AL10"/>
  <c r="AQ9"/>
  <c r="AM9"/>
  <c r="AN9" s="1"/>
  <c r="AL9"/>
  <c r="AP8"/>
  <c r="AO8"/>
  <c r="AQ7"/>
  <c r="AM7"/>
  <c r="AL7"/>
  <c r="AQ6"/>
  <c r="AM6"/>
  <c r="AN6" s="1"/>
  <c r="AL6"/>
  <c r="AP46" i="4"/>
  <c r="AO46"/>
  <c r="AP45"/>
  <c r="AP47" s="1"/>
  <c r="AO45"/>
  <c r="AP44"/>
  <c r="AO44"/>
  <c r="AQ43"/>
  <c r="AM43"/>
  <c r="AN43" s="1"/>
  <c r="AL43"/>
  <c r="AL44" s="1"/>
  <c r="AQ42"/>
  <c r="AM42"/>
  <c r="AN42" s="1"/>
  <c r="AL42"/>
  <c r="AP41"/>
  <c r="AO41"/>
  <c r="AQ40"/>
  <c r="AM40"/>
  <c r="AN40" s="1"/>
  <c r="AL40"/>
  <c r="AQ39"/>
  <c r="AM39"/>
  <c r="AL39"/>
  <c r="AP38"/>
  <c r="AO38"/>
  <c r="AQ37"/>
  <c r="AM37"/>
  <c r="AN37" s="1"/>
  <c r="AL37"/>
  <c r="AL38" s="1"/>
  <c r="AQ36"/>
  <c r="AM36"/>
  <c r="AN36" s="1"/>
  <c r="AL36"/>
  <c r="AP35"/>
  <c r="AO35"/>
  <c r="AQ34"/>
  <c r="AM34"/>
  <c r="AN34" s="1"/>
  <c r="AL34"/>
  <c r="AL35" s="1"/>
  <c r="AQ33"/>
  <c r="AM33"/>
  <c r="AN33" s="1"/>
  <c r="AL33"/>
  <c r="AP32"/>
  <c r="AO32"/>
  <c r="AQ31"/>
  <c r="AM31"/>
  <c r="AN31" s="1"/>
  <c r="AL31"/>
  <c r="AL32" s="1"/>
  <c r="AQ30"/>
  <c r="AM30"/>
  <c r="AN30" s="1"/>
  <c r="AL30"/>
  <c r="AP29"/>
  <c r="AO29"/>
  <c r="AQ28"/>
  <c r="AM28"/>
  <c r="AN28" s="1"/>
  <c r="AL28"/>
  <c r="AQ27"/>
  <c r="AM27"/>
  <c r="AL27"/>
  <c r="AP26"/>
  <c r="AO26"/>
  <c r="AQ25"/>
  <c r="AM25"/>
  <c r="AN25" s="1"/>
  <c r="AL25"/>
  <c r="AQ24"/>
  <c r="AM24"/>
  <c r="AL24"/>
  <c r="AP23"/>
  <c r="AO23"/>
  <c r="AQ22"/>
  <c r="AM22"/>
  <c r="AN22" s="1"/>
  <c r="AL22"/>
  <c r="AQ21"/>
  <c r="AM21"/>
  <c r="AL21"/>
  <c r="AP20"/>
  <c r="AO20"/>
  <c r="AQ19"/>
  <c r="AM19"/>
  <c r="AN19" s="1"/>
  <c r="AL19"/>
  <c r="AQ18"/>
  <c r="AM18"/>
  <c r="AL18"/>
  <c r="AP17"/>
  <c r="AO17"/>
  <c r="AQ16"/>
  <c r="AM16"/>
  <c r="AN16" s="1"/>
  <c r="AL16"/>
  <c r="AQ15"/>
  <c r="AM15"/>
  <c r="AL15"/>
  <c r="AP14"/>
  <c r="AO14"/>
  <c r="AQ13"/>
  <c r="AM13"/>
  <c r="AN13" s="1"/>
  <c r="AL13"/>
  <c r="AL14" s="1"/>
  <c r="AQ12"/>
  <c r="AM12"/>
  <c r="AN12" s="1"/>
  <c r="AL12"/>
  <c r="AP11"/>
  <c r="AO11"/>
  <c r="AQ10"/>
  <c r="AM10"/>
  <c r="AN10" s="1"/>
  <c r="AL10"/>
  <c r="AQ9"/>
  <c r="AM9"/>
  <c r="AL9"/>
  <c r="AP8"/>
  <c r="AO8"/>
  <c r="AQ7"/>
  <c r="AM7"/>
  <c r="AN7" s="1"/>
  <c r="AL7"/>
  <c r="AL46" s="1"/>
  <c r="AQ6"/>
  <c r="AM6"/>
  <c r="AL6"/>
  <c r="AL45" s="1"/>
  <c r="AJ64" i="2"/>
  <c r="AJ61"/>
  <c r="AJ55"/>
  <c r="AJ49"/>
  <c r="AJ70" i="1"/>
  <c r="AJ67"/>
  <c r="AJ66"/>
  <c r="AJ64"/>
  <c r="AJ61"/>
  <c r="AJ58"/>
  <c r="AJ55"/>
  <c r="AJ52"/>
  <c r="AJ49"/>
  <c r="AI70"/>
  <c r="AI69"/>
  <c r="AI67"/>
  <c r="AI66"/>
  <c r="AI64"/>
  <c r="AI63"/>
  <c r="AI61"/>
  <c r="AI60"/>
  <c r="AI58"/>
  <c r="AI57"/>
  <c r="AI55"/>
  <c r="AI54"/>
  <c r="AI52"/>
  <c r="AI51"/>
  <c r="AI49"/>
  <c r="AI48"/>
  <c r="AI49" i="2"/>
  <c r="AI48"/>
  <c r="AI70"/>
  <c r="AI69"/>
  <c r="AI64"/>
  <c r="AI63"/>
  <c r="AI61"/>
  <c r="AI60"/>
  <c r="AI55"/>
  <c r="AI54"/>
  <c r="AJ74" i="1"/>
  <c r="AI74"/>
  <c r="AK73"/>
  <c r="AG73"/>
  <c r="AF73"/>
  <c r="AK72"/>
  <c r="AG72"/>
  <c r="AF72"/>
  <c r="AI71"/>
  <c r="AG70"/>
  <c r="AJ71"/>
  <c r="AF69"/>
  <c r="AG69"/>
  <c r="AJ68"/>
  <c r="AI68"/>
  <c r="AG67"/>
  <c r="AF66"/>
  <c r="AG66"/>
  <c r="AJ65"/>
  <c r="AI65"/>
  <c r="AG64"/>
  <c r="AF63"/>
  <c r="AG63"/>
  <c r="AJ62"/>
  <c r="AI62"/>
  <c r="AG61"/>
  <c r="AF60"/>
  <c r="AG60"/>
  <c r="AJ59"/>
  <c r="AI59"/>
  <c r="AG58"/>
  <c r="AF57"/>
  <c r="AG57"/>
  <c r="AH57" s="1"/>
  <c r="AJ56"/>
  <c r="AI56"/>
  <c r="AG55"/>
  <c r="AF54"/>
  <c r="AG54"/>
  <c r="AJ53"/>
  <c r="AI53"/>
  <c r="AG52"/>
  <c r="AF51"/>
  <c r="AG51"/>
  <c r="AH51" s="1"/>
  <c r="AJ50"/>
  <c r="AJ76"/>
  <c r="AG49"/>
  <c r="AJ75"/>
  <c r="AG48"/>
  <c r="AJ47"/>
  <c r="AI47"/>
  <c r="AK46"/>
  <c r="AG46"/>
  <c r="AH46" s="1"/>
  <c r="AF46"/>
  <c r="AF47" s="1"/>
  <c r="AK45"/>
  <c r="AG45"/>
  <c r="AH45" s="1"/>
  <c r="AF45"/>
  <c r="AJ44"/>
  <c r="AI44"/>
  <c r="AK43"/>
  <c r="AG43"/>
  <c r="AH43" s="1"/>
  <c r="AF43"/>
  <c r="AF44" s="1"/>
  <c r="AK42"/>
  <c r="AG42"/>
  <c r="AH42" s="1"/>
  <c r="AF42"/>
  <c r="AJ41"/>
  <c r="AI41"/>
  <c r="AK40"/>
  <c r="AG40"/>
  <c r="AH40" s="1"/>
  <c r="AF40"/>
  <c r="AF41" s="1"/>
  <c r="AK39"/>
  <c r="AG39"/>
  <c r="AH39" s="1"/>
  <c r="AF39"/>
  <c r="AJ38"/>
  <c r="AI38"/>
  <c r="AK37"/>
  <c r="AG37"/>
  <c r="AF37"/>
  <c r="AK36"/>
  <c r="AG36"/>
  <c r="AF36"/>
  <c r="AJ35"/>
  <c r="AI35"/>
  <c r="AK34"/>
  <c r="AG34"/>
  <c r="AF34"/>
  <c r="AK33"/>
  <c r="AG33"/>
  <c r="AF33"/>
  <c r="AJ32"/>
  <c r="AI32"/>
  <c r="AK31"/>
  <c r="AG31"/>
  <c r="AF31"/>
  <c r="AK30"/>
  <c r="AG30"/>
  <c r="AF30"/>
  <c r="AJ29"/>
  <c r="AI29"/>
  <c r="AK28"/>
  <c r="AG28"/>
  <c r="AF28"/>
  <c r="AK27"/>
  <c r="AG27"/>
  <c r="AF27"/>
  <c r="AJ26"/>
  <c r="AI26"/>
  <c r="AK25"/>
  <c r="AG25"/>
  <c r="AF25"/>
  <c r="AK24"/>
  <c r="AG24"/>
  <c r="AF24"/>
  <c r="AJ23"/>
  <c r="AI23"/>
  <c r="AK22"/>
  <c r="AG22"/>
  <c r="AF22"/>
  <c r="AK21"/>
  <c r="AG21"/>
  <c r="AF21"/>
  <c r="AJ20"/>
  <c r="AI20"/>
  <c r="AK19"/>
  <c r="AG19"/>
  <c r="AF19"/>
  <c r="AK18"/>
  <c r="AG18"/>
  <c r="AF18"/>
  <c r="AJ17"/>
  <c r="AI17"/>
  <c r="AK16"/>
  <c r="AG16"/>
  <c r="AF16"/>
  <c r="AK15"/>
  <c r="AG15"/>
  <c r="AF15"/>
  <c r="AJ14"/>
  <c r="AI14"/>
  <c r="AK13"/>
  <c r="AG13"/>
  <c r="AF13"/>
  <c r="AK12"/>
  <c r="AG12"/>
  <c r="AF12"/>
  <c r="AJ11"/>
  <c r="AI11"/>
  <c r="AK10"/>
  <c r="AG10"/>
  <c r="AF10"/>
  <c r="AK9"/>
  <c r="AG9"/>
  <c r="AF9"/>
  <c r="AJ8"/>
  <c r="AI8"/>
  <c r="AK7"/>
  <c r="AG7"/>
  <c r="AF7"/>
  <c r="AK6"/>
  <c r="AG6"/>
  <c r="AF6"/>
  <c r="AJ74" i="2"/>
  <c r="AI74"/>
  <c r="AK73"/>
  <c r="AG73"/>
  <c r="AF73"/>
  <c r="AK72"/>
  <c r="AG72"/>
  <c r="AF72"/>
  <c r="AJ71"/>
  <c r="AK70"/>
  <c r="AI71"/>
  <c r="AG70"/>
  <c r="AG71" s="1"/>
  <c r="AF70"/>
  <c r="AK69"/>
  <c r="AG69"/>
  <c r="AJ68"/>
  <c r="AI68"/>
  <c r="AK67"/>
  <c r="AG67"/>
  <c r="AH67" s="1"/>
  <c r="AF67"/>
  <c r="AF68" s="1"/>
  <c r="AK66"/>
  <c r="AG66"/>
  <c r="AH66" s="1"/>
  <c r="AF66"/>
  <c r="AJ65"/>
  <c r="AI65"/>
  <c r="AG64"/>
  <c r="AF63"/>
  <c r="AG63"/>
  <c r="AJ76"/>
  <c r="AI62"/>
  <c r="AG61"/>
  <c r="AK60"/>
  <c r="AJ75"/>
  <c r="AG60"/>
  <c r="AF60"/>
  <c r="AH60" s="1"/>
  <c r="AJ59"/>
  <c r="AI59"/>
  <c r="AK58"/>
  <c r="AG58"/>
  <c r="AG59" s="1"/>
  <c r="AF58"/>
  <c r="AF59" s="1"/>
  <c r="AK57"/>
  <c r="AG57"/>
  <c r="AH57" s="1"/>
  <c r="AF57"/>
  <c r="AJ56"/>
  <c r="AK55"/>
  <c r="AG55"/>
  <c r="AF55"/>
  <c r="AF56" s="1"/>
  <c r="AK54"/>
  <c r="AG54"/>
  <c r="AH54" s="1"/>
  <c r="AF54"/>
  <c r="AJ53"/>
  <c r="AI53"/>
  <c r="AK52"/>
  <c r="AG52"/>
  <c r="AG53" s="1"/>
  <c r="AF52"/>
  <c r="AF53" s="1"/>
  <c r="AK51"/>
  <c r="AG51"/>
  <c r="AH51" s="1"/>
  <c r="AF51"/>
  <c r="AJ50"/>
  <c r="AK49"/>
  <c r="AG49"/>
  <c r="AF49"/>
  <c r="AH49" s="1"/>
  <c r="AG48"/>
  <c r="AJ47"/>
  <c r="AI47"/>
  <c r="AK46"/>
  <c r="AG46"/>
  <c r="AG47" s="1"/>
  <c r="AF46"/>
  <c r="AF47" s="1"/>
  <c r="AK45"/>
  <c r="AG45"/>
  <c r="AH45" s="1"/>
  <c r="AF45"/>
  <c r="AJ44"/>
  <c r="AI44"/>
  <c r="AK43"/>
  <c r="AG43"/>
  <c r="AF43"/>
  <c r="AF44" s="1"/>
  <c r="AK42"/>
  <c r="AG42"/>
  <c r="AH42" s="1"/>
  <c r="AF42"/>
  <c r="AJ41"/>
  <c r="AI41"/>
  <c r="AK40"/>
  <c r="AG40"/>
  <c r="AG41" s="1"/>
  <c r="AF40"/>
  <c r="AF41" s="1"/>
  <c r="AK39"/>
  <c r="AG39"/>
  <c r="AH39" s="1"/>
  <c r="AF39"/>
  <c r="AJ38"/>
  <c r="AI38"/>
  <c r="AK37"/>
  <c r="AG37"/>
  <c r="AG38" s="1"/>
  <c r="AF37"/>
  <c r="AK36"/>
  <c r="AG36"/>
  <c r="AF36"/>
  <c r="AJ35"/>
  <c r="AI35"/>
  <c r="AK34"/>
  <c r="AG34"/>
  <c r="AG35" s="1"/>
  <c r="AF34"/>
  <c r="AF35" s="1"/>
  <c r="AK33"/>
  <c r="AG33"/>
  <c r="AH33" s="1"/>
  <c r="AF33"/>
  <c r="AJ32"/>
  <c r="AI32"/>
  <c r="AK31"/>
  <c r="AG31"/>
  <c r="AG32" s="1"/>
  <c r="AF31"/>
  <c r="AK30"/>
  <c r="AG30"/>
  <c r="AF30"/>
  <c r="AJ29"/>
  <c r="AI29"/>
  <c r="AK28"/>
  <c r="AG28"/>
  <c r="AG29" s="1"/>
  <c r="AF28"/>
  <c r="AK27"/>
  <c r="AG27"/>
  <c r="AF27"/>
  <c r="AJ26"/>
  <c r="AI26"/>
  <c r="AK25"/>
  <c r="AG25"/>
  <c r="AG26" s="1"/>
  <c r="AF25"/>
  <c r="AK24"/>
  <c r="AG24"/>
  <c r="AF24"/>
  <c r="AJ23"/>
  <c r="AI23"/>
  <c r="AK22"/>
  <c r="AG22"/>
  <c r="AG23" s="1"/>
  <c r="AF22"/>
  <c r="AK21"/>
  <c r="AG21"/>
  <c r="AF21"/>
  <c r="AJ20"/>
  <c r="AI20"/>
  <c r="AK19"/>
  <c r="AG19"/>
  <c r="AF19"/>
  <c r="AK18"/>
  <c r="AG18"/>
  <c r="AF18"/>
  <c r="AJ17"/>
  <c r="AI17"/>
  <c r="AK16"/>
  <c r="AG16"/>
  <c r="AF16"/>
  <c r="AK15"/>
  <c r="AG15"/>
  <c r="AF15"/>
  <c r="AJ14"/>
  <c r="AI14"/>
  <c r="AK13"/>
  <c r="AG13"/>
  <c r="AF13"/>
  <c r="AK12"/>
  <c r="AG12"/>
  <c r="AF12"/>
  <c r="AJ11"/>
  <c r="AI11"/>
  <c r="AK10"/>
  <c r="AG10"/>
  <c r="AF10"/>
  <c r="AK9"/>
  <c r="AG9"/>
  <c r="AF9"/>
  <c r="AJ8"/>
  <c r="AI8"/>
  <c r="AK7"/>
  <c r="AG7"/>
  <c r="AF7"/>
  <c r="AK6"/>
  <c r="AG6"/>
  <c r="AG75" s="1"/>
  <c r="AF6"/>
  <c r="AJ26" i="5"/>
  <c r="AJ79"/>
  <c r="AI79"/>
  <c r="AJ78"/>
  <c r="AI78"/>
  <c r="AJ77"/>
  <c r="AI77"/>
  <c r="AK76"/>
  <c r="AG76"/>
  <c r="AH76" s="1"/>
  <c r="AF76"/>
  <c r="AK75"/>
  <c r="AG75"/>
  <c r="AF75"/>
  <c r="AJ74"/>
  <c r="AI74"/>
  <c r="AK73"/>
  <c r="AG73"/>
  <c r="AH73" s="1"/>
  <c r="AF73"/>
  <c r="AK72"/>
  <c r="AG72"/>
  <c r="AF72"/>
  <c r="AJ71"/>
  <c r="AI71"/>
  <c r="AK70"/>
  <c r="AG70"/>
  <c r="AH70" s="1"/>
  <c r="AF70"/>
  <c r="AK69"/>
  <c r="AG69"/>
  <c r="AF69"/>
  <c r="AJ68"/>
  <c r="AI68"/>
  <c r="AK67"/>
  <c r="AG67"/>
  <c r="AH67" s="1"/>
  <c r="AF67"/>
  <c r="AK66"/>
  <c r="AG66"/>
  <c r="AF66"/>
  <c r="AJ65"/>
  <c r="AI65"/>
  <c r="AK64"/>
  <c r="AG64"/>
  <c r="AH64" s="1"/>
  <c r="AF64"/>
  <c r="AK63"/>
  <c r="AG63"/>
  <c r="AF63"/>
  <c r="AJ62"/>
  <c r="AI62"/>
  <c r="AK61"/>
  <c r="AG61"/>
  <c r="AH61" s="1"/>
  <c r="AF61"/>
  <c r="AK60"/>
  <c r="AG60"/>
  <c r="AF60"/>
  <c r="AJ59"/>
  <c r="AI59"/>
  <c r="AK58"/>
  <c r="AG58"/>
  <c r="AH58" s="1"/>
  <c r="AF58"/>
  <c r="AK57"/>
  <c r="AG57"/>
  <c r="AH57" s="1"/>
  <c r="AF57"/>
  <c r="AJ56"/>
  <c r="AI56"/>
  <c r="AK55"/>
  <c r="AG55"/>
  <c r="AH55" s="1"/>
  <c r="AF55"/>
  <c r="AK54"/>
  <c r="AG54"/>
  <c r="AF54"/>
  <c r="AJ53"/>
  <c r="AI53"/>
  <c r="AK52"/>
  <c r="AG52"/>
  <c r="AF52"/>
  <c r="AK51"/>
  <c r="AG51"/>
  <c r="AF51"/>
  <c r="AJ50"/>
  <c r="AI50"/>
  <c r="AK49"/>
  <c r="AG49"/>
  <c r="AF49"/>
  <c r="AK48"/>
  <c r="AG48"/>
  <c r="AF48"/>
  <c r="AJ47"/>
  <c r="AI47"/>
  <c r="AK46"/>
  <c r="AG46"/>
  <c r="AH46" s="1"/>
  <c r="AF46"/>
  <c r="AK45"/>
  <c r="AG45"/>
  <c r="AF45"/>
  <c r="AJ44"/>
  <c r="AI44"/>
  <c r="AK43"/>
  <c r="AG43"/>
  <c r="AF43"/>
  <c r="AK42"/>
  <c r="AG42"/>
  <c r="AF42"/>
  <c r="AJ41"/>
  <c r="AI41"/>
  <c r="AK40"/>
  <c r="AG40"/>
  <c r="AH40" s="1"/>
  <c r="AF40"/>
  <c r="AK39"/>
  <c r="AG39"/>
  <c r="AF39"/>
  <c r="AJ38"/>
  <c r="AI38"/>
  <c r="AK37"/>
  <c r="AG37"/>
  <c r="AF37"/>
  <c r="AK36"/>
  <c r="AG36"/>
  <c r="AF36"/>
  <c r="AJ35"/>
  <c r="AI35"/>
  <c r="AK34"/>
  <c r="AG34"/>
  <c r="AF34"/>
  <c r="AK33"/>
  <c r="AG33"/>
  <c r="AF33"/>
  <c r="AJ32"/>
  <c r="AI32"/>
  <c r="AK31"/>
  <c r="AG31"/>
  <c r="AH31" s="1"/>
  <c r="AF31"/>
  <c r="AK30"/>
  <c r="AG30"/>
  <c r="AF30"/>
  <c r="AJ29"/>
  <c r="AI29"/>
  <c r="AK28"/>
  <c r="AG28"/>
  <c r="AH28" s="1"/>
  <c r="AF28"/>
  <c r="AK27"/>
  <c r="AG27"/>
  <c r="AF27"/>
  <c r="AI26"/>
  <c r="AK25"/>
  <c r="AG25"/>
  <c r="AF25"/>
  <c r="AK24"/>
  <c r="AG24"/>
  <c r="AF24"/>
  <c r="AJ23"/>
  <c r="AI23"/>
  <c r="AK22"/>
  <c r="AG22"/>
  <c r="AH22" s="1"/>
  <c r="AF22"/>
  <c r="AF23" s="1"/>
  <c r="AK21"/>
  <c r="AG21"/>
  <c r="AH21" s="1"/>
  <c r="AF21"/>
  <c r="AJ20"/>
  <c r="AI20"/>
  <c r="AK19"/>
  <c r="AG19"/>
  <c r="AF19"/>
  <c r="AK18"/>
  <c r="AG18"/>
  <c r="AF18"/>
  <c r="AJ17"/>
  <c r="AI17"/>
  <c r="AK16"/>
  <c r="AG16"/>
  <c r="AF16"/>
  <c r="AK15"/>
  <c r="AG15"/>
  <c r="AF15"/>
  <c r="AJ14"/>
  <c r="AI14"/>
  <c r="AK13"/>
  <c r="AG13"/>
  <c r="AH13" s="1"/>
  <c r="AF13"/>
  <c r="AK12"/>
  <c r="AG12"/>
  <c r="AF12"/>
  <c r="AJ11"/>
  <c r="AI11"/>
  <c r="AK10"/>
  <c r="AG10"/>
  <c r="AF10"/>
  <c r="AK9"/>
  <c r="AG9"/>
  <c r="AF9"/>
  <c r="AJ8"/>
  <c r="AI8"/>
  <c r="AK7"/>
  <c r="AG7"/>
  <c r="AH7" s="1"/>
  <c r="AF7"/>
  <c r="AF79" s="1"/>
  <c r="AK6"/>
  <c r="AG6"/>
  <c r="AF6"/>
  <c r="AJ79" i="6"/>
  <c r="AI79"/>
  <c r="AJ78"/>
  <c r="AI78"/>
  <c r="AJ77"/>
  <c r="AI77"/>
  <c r="AK76"/>
  <c r="AG76"/>
  <c r="AH76" s="1"/>
  <c r="AF76"/>
  <c r="AK75"/>
  <c r="AG75"/>
  <c r="AF75"/>
  <c r="AJ74"/>
  <c r="AI74"/>
  <c r="AK73"/>
  <c r="AG73"/>
  <c r="AF73"/>
  <c r="AK72"/>
  <c r="AG72"/>
  <c r="AF72"/>
  <c r="AJ71"/>
  <c r="AI71"/>
  <c r="AK70"/>
  <c r="AG70"/>
  <c r="AH70" s="1"/>
  <c r="AF70"/>
  <c r="AF71" s="1"/>
  <c r="AK69"/>
  <c r="AG69"/>
  <c r="AH69" s="1"/>
  <c r="AF69"/>
  <c r="AJ68"/>
  <c r="AI68"/>
  <c r="AK67"/>
  <c r="AG67"/>
  <c r="AH67" s="1"/>
  <c r="AF67"/>
  <c r="AK66"/>
  <c r="AG66"/>
  <c r="AF66"/>
  <c r="AJ65"/>
  <c r="AI65"/>
  <c r="AK64"/>
  <c r="AG64"/>
  <c r="AH64" s="1"/>
  <c r="AF64"/>
  <c r="AF65" s="1"/>
  <c r="AK63"/>
  <c r="AG63"/>
  <c r="AH63" s="1"/>
  <c r="AF63"/>
  <c r="AJ62"/>
  <c r="AI62"/>
  <c r="AK61"/>
  <c r="AG61"/>
  <c r="AH61" s="1"/>
  <c r="AF61"/>
  <c r="AK60"/>
  <c r="AG60"/>
  <c r="AF60"/>
  <c r="AJ59"/>
  <c r="AI59"/>
  <c r="AK58"/>
  <c r="AG58"/>
  <c r="AH58" s="1"/>
  <c r="AF58"/>
  <c r="AK57"/>
  <c r="AG57"/>
  <c r="AF57"/>
  <c r="AJ56"/>
  <c r="AI56"/>
  <c r="AK55"/>
  <c r="AG55"/>
  <c r="AH55" s="1"/>
  <c r="AF55"/>
  <c r="AK54"/>
  <c r="AG54"/>
  <c r="AF54"/>
  <c r="AJ53"/>
  <c r="AI53"/>
  <c r="AK52"/>
  <c r="AG52"/>
  <c r="AH52" s="1"/>
  <c r="AF52"/>
  <c r="AK51"/>
  <c r="AG51"/>
  <c r="AF51"/>
  <c r="AJ50"/>
  <c r="AI50"/>
  <c r="AK49"/>
  <c r="AG49"/>
  <c r="AH49" s="1"/>
  <c r="AF49"/>
  <c r="AF50" s="1"/>
  <c r="AK48"/>
  <c r="AG48"/>
  <c r="AH48" s="1"/>
  <c r="AF48"/>
  <c r="AJ47"/>
  <c r="AI47"/>
  <c r="AK46"/>
  <c r="AG46"/>
  <c r="AH46" s="1"/>
  <c r="AF46"/>
  <c r="AK45"/>
  <c r="AG45"/>
  <c r="AF45"/>
  <c r="AJ44"/>
  <c r="AI44"/>
  <c r="AK43"/>
  <c r="AG43"/>
  <c r="AH43" s="1"/>
  <c r="AF43"/>
  <c r="AK42"/>
  <c r="AG42"/>
  <c r="AF42"/>
  <c r="AJ41"/>
  <c r="AI41"/>
  <c r="AK40"/>
  <c r="AG40"/>
  <c r="AH40" s="1"/>
  <c r="AF40"/>
  <c r="AF41" s="1"/>
  <c r="AK39"/>
  <c r="AG39"/>
  <c r="AH39" s="1"/>
  <c r="AF39"/>
  <c r="AJ38"/>
  <c r="AI38"/>
  <c r="AK37"/>
  <c r="AG37"/>
  <c r="AF37"/>
  <c r="AK36"/>
  <c r="AG36"/>
  <c r="AF36"/>
  <c r="AJ35"/>
  <c r="AI35"/>
  <c r="AK34"/>
  <c r="AG34"/>
  <c r="AH34" s="1"/>
  <c r="AF34"/>
  <c r="AK33"/>
  <c r="AG33"/>
  <c r="AF33"/>
  <c r="AJ32"/>
  <c r="AI32"/>
  <c r="AK31"/>
  <c r="AG31"/>
  <c r="AH31" s="1"/>
  <c r="AF31"/>
  <c r="AK30"/>
  <c r="AG30"/>
  <c r="AF30"/>
  <c r="AJ29"/>
  <c r="AI29"/>
  <c r="AK28"/>
  <c r="AG28"/>
  <c r="AH28" s="1"/>
  <c r="AF28"/>
  <c r="AK27"/>
  <c r="AG27"/>
  <c r="AF27"/>
  <c r="AJ26"/>
  <c r="AI26"/>
  <c r="AK25"/>
  <c r="AG25"/>
  <c r="AF25"/>
  <c r="AK24"/>
  <c r="AG24"/>
  <c r="AF24"/>
  <c r="AJ23"/>
  <c r="AI23"/>
  <c r="AK22"/>
  <c r="AG22"/>
  <c r="AH22" s="1"/>
  <c r="AF22"/>
  <c r="AF23" s="1"/>
  <c r="AK21"/>
  <c r="AG21"/>
  <c r="AH21" s="1"/>
  <c r="AF21"/>
  <c r="AJ20"/>
  <c r="AI20"/>
  <c r="AK19"/>
  <c r="AG19"/>
  <c r="AH19" s="1"/>
  <c r="AF19"/>
  <c r="AF20" s="1"/>
  <c r="AK18"/>
  <c r="AG18"/>
  <c r="AH18" s="1"/>
  <c r="AF18"/>
  <c r="AJ17"/>
  <c r="AI17"/>
  <c r="AK16"/>
  <c r="AG16"/>
  <c r="AH16" s="1"/>
  <c r="AF16"/>
  <c r="AF79" s="1"/>
  <c r="AK15"/>
  <c r="AG15"/>
  <c r="AH15" s="1"/>
  <c r="AF15"/>
  <c r="AF78" s="1"/>
  <c r="AJ14"/>
  <c r="AI14"/>
  <c r="AK13"/>
  <c r="AG13"/>
  <c r="AH13" s="1"/>
  <c r="AF13"/>
  <c r="AF14" s="1"/>
  <c r="AK12"/>
  <c r="AG12"/>
  <c r="AH12" s="1"/>
  <c r="AF12"/>
  <c r="AJ11"/>
  <c r="AI11"/>
  <c r="AK10"/>
  <c r="AG10"/>
  <c r="AF10"/>
  <c r="AK9"/>
  <c r="AG9"/>
  <c r="AF9"/>
  <c r="AJ8"/>
  <c r="AI8"/>
  <c r="AK7"/>
  <c r="AG7"/>
  <c r="AH7" s="1"/>
  <c r="AF7"/>
  <c r="AK6"/>
  <c r="AG6"/>
  <c r="AF6"/>
  <c r="AJ46" i="3"/>
  <c r="AI46"/>
  <c r="AJ45"/>
  <c r="AI45"/>
  <c r="AJ44"/>
  <c r="AI44"/>
  <c r="AK43"/>
  <c r="AG43"/>
  <c r="AH43" s="1"/>
  <c r="AF43"/>
  <c r="AK42"/>
  <c r="AG42"/>
  <c r="AF42"/>
  <c r="AJ41"/>
  <c r="AI41"/>
  <c r="AK40"/>
  <c r="AG40"/>
  <c r="AH40" s="1"/>
  <c r="AF40"/>
  <c r="AK39"/>
  <c r="AG39"/>
  <c r="AF39"/>
  <c r="AJ38"/>
  <c r="AI38"/>
  <c r="AK37"/>
  <c r="AG37"/>
  <c r="AH37" s="1"/>
  <c r="AF37"/>
  <c r="AK36"/>
  <c r="AG36"/>
  <c r="AF36"/>
  <c r="AJ35"/>
  <c r="AI35"/>
  <c r="AK34"/>
  <c r="AG34"/>
  <c r="AH34" s="1"/>
  <c r="AF34"/>
  <c r="AF35" s="1"/>
  <c r="AK33"/>
  <c r="AG33"/>
  <c r="AH33" s="1"/>
  <c r="AF33"/>
  <c r="AJ32"/>
  <c r="AI32"/>
  <c r="AK31"/>
  <c r="AG31"/>
  <c r="AH31" s="1"/>
  <c r="AF31"/>
  <c r="AF32" s="1"/>
  <c r="AK30"/>
  <c r="AG30"/>
  <c r="AH30" s="1"/>
  <c r="AF30"/>
  <c r="AJ29"/>
  <c r="AI29"/>
  <c r="AK28"/>
  <c r="AG28"/>
  <c r="AH28" s="1"/>
  <c r="AF28"/>
  <c r="AK27"/>
  <c r="AG27"/>
  <c r="AF27"/>
  <c r="AJ26"/>
  <c r="AI26"/>
  <c r="AK25"/>
  <c r="AG25"/>
  <c r="AH25" s="1"/>
  <c r="AF25"/>
  <c r="AF26" s="1"/>
  <c r="AK24"/>
  <c r="AG24"/>
  <c r="AH24" s="1"/>
  <c r="AF24"/>
  <c r="AJ23"/>
  <c r="AI23"/>
  <c r="AK22"/>
  <c r="AG22"/>
  <c r="AH22" s="1"/>
  <c r="AF22"/>
  <c r="AK21"/>
  <c r="AG21"/>
  <c r="AF21"/>
  <c r="AJ20"/>
  <c r="AI20"/>
  <c r="AK19"/>
  <c r="AG19"/>
  <c r="AF19"/>
  <c r="AK18"/>
  <c r="AG18"/>
  <c r="AF18"/>
  <c r="AJ17"/>
  <c r="AI17"/>
  <c r="AK16"/>
  <c r="AG16"/>
  <c r="AH16" s="1"/>
  <c r="AF16"/>
  <c r="AK15"/>
  <c r="AG15"/>
  <c r="AF15"/>
  <c r="AJ14"/>
  <c r="AI14"/>
  <c r="AK13"/>
  <c r="AG13"/>
  <c r="AH13" s="1"/>
  <c r="AF13"/>
  <c r="AK12"/>
  <c r="AG12"/>
  <c r="AF12"/>
  <c r="AJ11"/>
  <c r="AI11"/>
  <c r="AK10"/>
  <c r="AG10"/>
  <c r="AH10" s="1"/>
  <c r="AF10"/>
  <c r="AK9"/>
  <c r="AG9"/>
  <c r="AF9"/>
  <c r="AJ8"/>
  <c r="AI8"/>
  <c r="AK7"/>
  <c r="AG7"/>
  <c r="AF7"/>
  <c r="AF46" s="1"/>
  <c r="AK6"/>
  <c r="AG6"/>
  <c r="AF6"/>
  <c r="AF45" s="1"/>
  <c r="AJ46" i="4"/>
  <c r="AI46"/>
  <c r="AJ45"/>
  <c r="AI45"/>
  <c r="AJ44"/>
  <c r="AI44"/>
  <c r="AK43"/>
  <c r="AG43"/>
  <c r="AH43" s="1"/>
  <c r="AF43"/>
  <c r="AF44" s="1"/>
  <c r="AK42"/>
  <c r="AG42"/>
  <c r="AH42" s="1"/>
  <c r="AF42"/>
  <c r="AJ41"/>
  <c r="AI41"/>
  <c r="AK40"/>
  <c r="AG40"/>
  <c r="AH40" s="1"/>
  <c r="AF40"/>
  <c r="AK39"/>
  <c r="AG39"/>
  <c r="AF39"/>
  <c r="AJ38"/>
  <c r="AI38"/>
  <c r="AK37"/>
  <c r="AG37"/>
  <c r="AH37" s="1"/>
  <c r="AF37"/>
  <c r="AK36"/>
  <c r="AG36"/>
  <c r="AF36"/>
  <c r="AJ35"/>
  <c r="AI35"/>
  <c r="AK34"/>
  <c r="AG34"/>
  <c r="AH34" s="1"/>
  <c r="AF34"/>
  <c r="AF35" s="1"/>
  <c r="AK33"/>
  <c r="AG33"/>
  <c r="AH33" s="1"/>
  <c r="AF33"/>
  <c r="AJ32"/>
  <c r="AI32"/>
  <c r="AK31"/>
  <c r="AG31"/>
  <c r="AH31" s="1"/>
  <c r="AF31"/>
  <c r="AF32" s="1"/>
  <c r="AK30"/>
  <c r="AG30"/>
  <c r="AH30" s="1"/>
  <c r="AF30"/>
  <c r="AJ29"/>
  <c r="AI29"/>
  <c r="AK28"/>
  <c r="AG28"/>
  <c r="AH28" s="1"/>
  <c r="AF28"/>
  <c r="AF29" s="1"/>
  <c r="AK27"/>
  <c r="AG27"/>
  <c r="AH27" s="1"/>
  <c r="AF27"/>
  <c r="AJ26"/>
  <c r="AI26"/>
  <c r="AK25"/>
  <c r="AG25"/>
  <c r="AH25" s="1"/>
  <c r="AF25"/>
  <c r="AK24"/>
  <c r="AG24"/>
  <c r="AF24"/>
  <c r="AJ23"/>
  <c r="AI23"/>
  <c r="AK22"/>
  <c r="AG22"/>
  <c r="AF22"/>
  <c r="AK21"/>
  <c r="AG21"/>
  <c r="AF21"/>
  <c r="AJ20"/>
  <c r="AI20"/>
  <c r="AK19"/>
  <c r="AG19"/>
  <c r="AH19" s="1"/>
  <c r="AF19"/>
  <c r="AF20" s="1"/>
  <c r="AK18"/>
  <c r="AG18"/>
  <c r="AH18" s="1"/>
  <c r="AF18"/>
  <c r="AJ17"/>
  <c r="AI17"/>
  <c r="AK16"/>
  <c r="AG16"/>
  <c r="AF16"/>
  <c r="AK15"/>
  <c r="AG15"/>
  <c r="AF15"/>
  <c r="AJ14"/>
  <c r="AI14"/>
  <c r="AK13"/>
  <c r="AG13"/>
  <c r="AH13" s="1"/>
  <c r="AF13"/>
  <c r="AF14" s="1"/>
  <c r="AK12"/>
  <c r="AG12"/>
  <c r="AH12" s="1"/>
  <c r="AF12"/>
  <c r="AJ11"/>
  <c r="AI11"/>
  <c r="AK10"/>
  <c r="AG10"/>
  <c r="AF10"/>
  <c r="AK9"/>
  <c r="AG9"/>
  <c r="AF9"/>
  <c r="AJ8"/>
  <c r="AI8"/>
  <c r="AK7"/>
  <c r="AG7"/>
  <c r="AF7"/>
  <c r="AF46" s="1"/>
  <c r="AK6"/>
  <c r="AG6"/>
  <c r="AF6"/>
  <c r="AF45" s="1"/>
  <c r="AD63" i="1"/>
  <c r="AD49"/>
  <c r="AD69"/>
  <c r="AD70"/>
  <c r="AD67"/>
  <c r="AD66"/>
  <c r="AD64"/>
  <c r="AD61"/>
  <c r="AD60"/>
  <c r="AD58"/>
  <c r="AD57"/>
  <c r="AD55"/>
  <c r="AD54"/>
  <c r="AD52"/>
  <c r="AD51"/>
  <c r="AD48"/>
  <c r="AD64" i="2"/>
  <c r="AD63"/>
  <c r="AD61"/>
  <c r="AA61" s="1"/>
  <c r="AD60"/>
  <c r="AD17" i="4"/>
  <c r="AD20"/>
  <c r="AD23"/>
  <c r="AD26"/>
  <c r="AC70" i="1"/>
  <c r="AC69"/>
  <c r="AC67"/>
  <c r="AC68" s="1"/>
  <c r="AC66"/>
  <c r="AC64"/>
  <c r="AC63"/>
  <c r="AC61"/>
  <c r="AC60"/>
  <c r="AC58"/>
  <c r="AC57"/>
  <c r="AC55"/>
  <c r="AC54"/>
  <c r="AC52"/>
  <c r="AC51"/>
  <c r="AC49"/>
  <c r="AC48"/>
  <c r="AC70" i="2"/>
  <c r="AC69"/>
  <c r="AC64"/>
  <c r="AC63"/>
  <c r="AC61"/>
  <c r="AC55"/>
  <c r="AC54"/>
  <c r="AC49"/>
  <c r="AC48"/>
  <c r="AD74" i="1"/>
  <c r="AC74"/>
  <c r="AE73"/>
  <c r="AA73"/>
  <c r="Z73"/>
  <c r="AE72"/>
  <c r="AA72"/>
  <c r="Z72"/>
  <c r="AD71"/>
  <c r="AC71"/>
  <c r="AA70"/>
  <c r="Z69"/>
  <c r="AA69"/>
  <c r="AD68"/>
  <c r="AE67"/>
  <c r="AA67"/>
  <c r="Z67"/>
  <c r="AE66"/>
  <c r="AA66"/>
  <c r="AD65"/>
  <c r="AC65"/>
  <c r="AA64"/>
  <c r="Z63"/>
  <c r="AA63"/>
  <c r="AD62"/>
  <c r="AC62"/>
  <c r="AA61"/>
  <c r="Z60"/>
  <c r="AA60"/>
  <c r="AD59"/>
  <c r="AC59"/>
  <c r="AA58"/>
  <c r="AE57"/>
  <c r="AA57"/>
  <c r="Z57"/>
  <c r="AD56"/>
  <c r="AC56"/>
  <c r="AA55"/>
  <c r="Z54"/>
  <c r="AA54"/>
  <c r="AB54" s="1"/>
  <c r="AD53"/>
  <c r="AC53"/>
  <c r="AA52"/>
  <c r="Z51"/>
  <c r="AA51"/>
  <c r="AD76"/>
  <c r="AA49"/>
  <c r="AD47"/>
  <c r="AC47"/>
  <c r="AE46"/>
  <c r="AA46"/>
  <c r="Z46"/>
  <c r="Z47" s="1"/>
  <c r="AE45"/>
  <c r="AA45"/>
  <c r="AB45" s="1"/>
  <c r="Z45"/>
  <c r="AD44"/>
  <c r="AC44"/>
  <c r="AE43"/>
  <c r="AA43"/>
  <c r="AB43" s="1"/>
  <c r="Z43"/>
  <c r="Z44" s="1"/>
  <c r="AE42"/>
  <c r="AA42"/>
  <c r="AB42" s="1"/>
  <c r="Z42"/>
  <c r="AD41"/>
  <c r="AC41"/>
  <c r="AE40"/>
  <c r="AA40"/>
  <c r="AB40" s="1"/>
  <c r="Z40"/>
  <c r="Z41" s="1"/>
  <c r="AE39"/>
  <c r="AA39"/>
  <c r="AB39" s="1"/>
  <c r="Z39"/>
  <c r="AD38"/>
  <c r="AC38"/>
  <c r="AE37"/>
  <c r="AA37"/>
  <c r="Z37"/>
  <c r="AE36"/>
  <c r="AA36"/>
  <c r="Z36"/>
  <c r="AD35"/>
  <c r="AC35"/>
  <c r="AE34"/>
  <c r="AA34"/>
  <c r="Z34"/>
  <c r="AE33"/>
  <c r="AA33"/>
  <c r="Z33"/>
  <c r="AD32"/>
  <c r="AC32"/>
  <c r="AE31"/>
  <c r="AA31"/>
  <c r="Z31"/>
  <c r="AE30"/>
  <c r="AA30"/>
  <c r="Z30"/>
  <c r="AD29"/>
  <c r="AC29"/>
  <c r="AE28"/>
  <c r="AA28"/>
  <c r="Z28"/>
  <c r="AE27"/>
  <c r="AA27"/>
  <c r="Z27"/>
  <c r="AD26"/>
  <c r="AC26"/>
  <c r="AE25"/>
  <c r="AA25"/>
  <c r="Z25"/>
  <c r="AE24"/>
  <c r="AA24"/>
  <c r="Z24"/>
  <c r="AD23"/>
  <c r="AC23"/>
  <c r="AE22"/>
  <c r="AA22"/>
  <c r="AB22" s="1"/>
  <c r="Z22"/>
  <c r="AE21"/>
  <c r="AA21"/>
  <c r="Z21"/>
  <c r="AD20"/>
  <c r="AC20"/>
  <c r="AE19"/>
  <c r="AA19"/>
  <c r="Z19"/>
  <c r="AE18"/>
  <c r="AA18"/>
  <c r="Z18"/>
  <c r="AD17"/>
  <c r="AC17"/>
  <c r="AE16"/>
  <c r="AA16"/>
  <c r="Z16"/>
  <c r="AE15"/>
  <c r="AA15"/>
  <c r="Z15"/>
  <c r="AD14"/>
  <c r="AC14"/>
  <c r="AE13"/>
  <c r="AA13"/>
  <c r="AB13" s="1"/>
  <c r="Z13"/>
  <c r="AE12"/>
  <c r="AA12"/>
  <c r="Z12"/>
  <c r="AD11"/>
  <c r="AC11"/>
  <c r="AE10"/>
  <c r="AA10"/>
  <c r="Z10"/>
  <c r="AE9"/>
  <c r="AA9"/>
  <c r="Z9"/>
  <c r="AD8"/>
  <c r="AC8"/>
  <c r="AE7"/>
  <c r="AA7"/>
  <c r="Z7"/>
  <c r="AE6"/>
  <c r="AA6"/>
  <c r="Z6"/>
  <c r="AC76" i="2"/>
  <c r="AC75"/>
  <c r="AD74"/>
  <c r="AC74"/>
  <c r="AE73"/>
  <c r="AA73"/>
  <c r="Z73"/>
  <c r="AE72"/>
  <c r="AA72"/>
  <c r="Z72"/>
  <c r="AD71"/>
  <c r="AC71"/>
  <c r="AE70"/>
  <c r="AA70"/>
  <c r="Z70"/>
  <c r="AE69"/>
  <c r="AA69"/>
  <c r="Z69"/>
  <c r="AD68"/>
  <c r="AC68"/>
  <c r="AE67"/>
  <c r="AA67"/>
  <c r="AB67" s="1"/>
  <c r="Z67"/>
  <c r="Z68" s="1"/>
  <c r="AE66"/>
  <c r="AA66"/>
  <c r="AB66" s="1"/>
  <c r="Z66"/>
  <c r="AC65"/>
  <c r="AE64"/>
  <c r="AD65"/>
  <c r="AA64"/>
  <c r="AA65" s="1"/>
  <c r="Z64"/>
  <c r="AE63"/>
  <c r="AA63"/>
  <c r="Z63"/>
  <c r="AC62"/>
  <c r="AE61"/>
  <c r="Z61"/>
  <c r="AE60"/>
  <c r="AA60"/>
  <c r="Z60"/>
  <c r="AD59"/>
  <c r="AC59"/>
  <c r="AE58"/>
  <c r="AA58"/>
  <c r="AB58" s="1"/>
  <c r="Z58"/>
  <c r="Z59" s="1"/>
  <c r="AE57"/>
  <c r="AA57"/>
  <c r="AB57" s="1"/>
  <c r="Z57"/>
  <c r="AC56"/>
  <c r="AE55"/>
  <c r="AA55"/>
  <c r="Z55"/>
  <c r="AE54"/>
  <c r="Z54"/>
  <c r="AD53"/>
  <c r="AC53"/>
  <c r="AE52"/>
  <c r="AA52"/>
  <c r="AB52" s="1"/>
  <c r="Z52"/>
  <c r="Z53" s="1"/>
  <c r="AE51"/>
  <c r="AA51"/>
  <c r="AB51" s="1"/>
  <c r="Z51"/>
  <c r="AC50"/>
  <c r="AE49"/>
  <c r="AD76"/>
  <c r="AA49"/>
  <c r="Z49"/>
  <c r="AD75"/>
  <c r="AA48"/>
  <c r="Z48"/>
  <c r="AD47"/>
  <c r="AC47"/>
  <c r="AE46"/>
  <c r="AA46"/>
  <c r="AB46" s="1"/>
  <c r="Z46"/>
  <c r="Z47" s="1"/>
  <c r="AE45"/>
  <c r="AA45"/>
  <c r="AB45" s="1"/>
  <c r="Z45"/>
  <c r="AD44"/>
  <c r="AC44"/>
  <c r="AE43"/>
  <c r="AA43"/>
  <c r="AB43" s="1"/>
  <c r="Z43"/>
  <c r="Z44" s="1"/>
  <c r="AE42"/>
  <c r="AA42"/>
  <c r="AB42" s="1"/>
  <c r="Z42"/>
  <c r="AD41"/>
  <c r="AC41"/>
  <c r="AE40"/>
  <c r="AA40"/>
  <c r="AB40" s="1"/>
  <c r="Z40"/>
  <c r="Z41" s="1"/>
  <c r="AE39"/>
  <c r="AA39"/>
  <c r="AB39" s="1"/>
  <c r="Z39"/>
  <c r="AD38"/>
  <c r="AC38"/>
  <c r="AE37"/>
  <c r="AA37"/>
  <c r="Z37"/>
  <c r="AE36"/>
  <c r="AA36"/>
  <c r="Z36"/>
  <c r="AD35"/>
  <c r="AC35"/>
  <c r="AE34"/>
  <c r="AA34"/>
  <c r="Z34"/>
  <c r="AE33"/>
  <c r="AA33"/>
  <c r="Z33"/>
  <c r="AD32"/>
  <c r="AC32"/>
  <c r="AE31"/>
  <c r="AA31"/>
  <c r="Z31"/>
  <c r="AE30"/>
  <c r="AA30"/>
  <c r="Z30"/>
  <c r="AD29"/>
  <c r="AC29"/>
  <c r="AE28"/>
  <c r="AA28"/>
  <c r="Z28"/>
  <c r="AE27"/>
  <c r="AA27"/>
  <c r="Z27"/>
  <c r="AD26"/>
  <c r="AC26"/>
  <c r="AE25"/>
  <c r="AA25"/>
  <c r="Z25"/>
  <c r="AE24"/>
  <c r="AA24"/>
  <c r="Z24"/>
  <c r="AD23"/>
  <c r="AC23"/>
  <c r="AE22"/>
  <c r="AA22"/>
  <c r="Z22"/>
  <c r="Z23" s="1"/>
  <c r="AE21"/>
  <c r="AA21"/>
  <c r="AB21" s="1"/>
  <c r="Z21"/>
  <c r="AD20"/>
  <c r="AC20"/>
  <c r="AE19"/>
  <c r="AA19"/>
  <c r="Z19"/>
  <c r="Z20" s="1"/>
  <c r="AE18"/>
  <c r="AA18"/>
  <c r="AB18" s="1"/>
  <c r="Z18"/>
  <c r="AD17"/>
  <c r="AC17"/>
  <c r="AE16"/>
  <c r="AA16"/>
  <c r="Z16"/>
  <c r="AE15"/>
  <c r="AA15"/>
  <c r="Z15"/>
  <c r="AD14"/>
  <c r="AC14"/>
  <c r="AE13"/>
  <c r="AA13"/>
  <c r="Z13"/>
  <c r="AE12"/>
  <c r="AA12"/>
  <c r="AB12" s="1"/>
  <c r="Z12"/>
  <c r="AD11"/>
  <c r="AC11"/>
  <c r="AE10"/>
  <c r="AA10"/>
  <c r="Z10"/>
  <c r="AE9"/>
  <c r="AA9"/>
  <c r="Z9"/>
  <c r="AD8"/>
  <c r="AC8"/>
  <c r="AE7"/>
  <c r="AA7"/>
  <c r="Z7"/>
  <c r="AE6"/>
  <c r="AA6"/>
  <c r="Z6"/>
  <c r="Z75" s="1"/>
  <c r="BX76" i="1" l="1"/>
  <c r="BW77"/>
  <c r="AN27" i="5"/>
  <c r="BR76" i="1"/>
  <c r="BR76" i="2"/>
  <c r="BL76" i="1"/>
  <c r="BK77"/>
  <c r="BL76" i="2"/>
  <c r="BI75" i="1"/>
  <c r="BI75" i="2"/>
  <c r="BG77" i="1"/>
  <c r="BI76"/>
  <c r="BF76"/>
  <c r="BE77"/>
  <c r="BE56" i="2"/>
  <c r="BF55"/>
  <c r="BG77"/>
  <c r="BI76"/>
  <c r="BD76"/>
  <c r="BD77" s="1"/>
  <c r="BF70"/>
  <c r="BE71"/>
  <c r="BE76"/>
  <c r="BF64"/>
  <c r="BF61"/>
  <c r="BF79" i="5"/>
  <c r="BE80"/>
  <c r="BF79" i="6"/>
  <c r="BE80"/>
  <c r="BF46" i="3"/>
  <c r="BE47"/>
  <c r="BF46" i="4"/>
  <c r="BE47"/>
  <c r="AY26" i="1"/>
  <c r="AZ66"/>
  <c r="AZ60"/>
  <c r="AY65" i="2"/>
  <c r="AZ60"/>
  <c r="AY62"/>
  <c r="AY59"/>
  <c r="AZ48"/>
  <c r="AY50"/>
  <c r="AY44"/>
  <c r="AZ39" i="1"/>
  <c r="AY41"/>
  <c r="AY35"/>
  <c r="AY29"/>
  <c r="AY20"/>
  <c r="AY17"/>
  <c r="AY14"/>
  <c r="AY11"/>
  <c r="AY8"/>
  <c r="BB80" i="6"/>
  <c r="BB80" i="5"/>
  <c r="BB47" i="3"/>
  <c r="BC45" i="4"/>
  <c r="BB47"/>
  <c r="AZ70" i="2"/>
  <c r="AX71"/>
  <c r="AX59"/>
  <c r="AX47" i="1"/>
  <c r="AX44"/>
  <c r="AX44" i="2"/>
  <c r="AZ39"/>
  <c r="AX41"/>
  <c r="AX41" i="1"/>
  <c r="AZ73"/>
  <c r="AX38"/>
  <c r="AX35"/>
  <c r="AZ30"/>
  <c r="AX32"/>
  <c r="AZ27"/>
  <c r="AX29"/>
  <c r="AZ24"/>
  <c r="AX26"/>
  <c r="AZ21"/>
  <c r="AX23"/>
  <c r="AZ18"/>
  <c r="AX20"/>
  <c r="AZ15"/>
  <c r="AX17"/>
  <c r="AZ12"/>
  <c r="AX14"/>
  <c r="AZ9"/>
  <c r="AX11"/>
  <c r="AZ73" i="2"/>
  <c r="AZ72"/>
  <c r="AX74"/>
  <c r="AZ37"/>
  <c r="AZ36"/>
  <c r="AX38"/>
  <c r="AZ31"/>
  <c r="AZ30"/>
  <c r="AX32"/>
  <c r="AZ28"/>
  <c r="AZ27"/>
  <c r="AX29"/>
  <c r="AZ24"/>
  <c r="AX26"/>
  <c r="AZ22"/>
  <c r="AZ21"/>
  <c r="AX23"/>
  <c r="AZ19"/>
  <c r="AZ18"/>
  <c r="AX20"/>
  <c r="AZ16"/>
  <c r="AZ15"/>
  <c r="AX17"/>
  <c r="AZ13"/>
  <c r="AZ12"/>
  <c r="AX14"/>
  <c r="AZ10"/>
  <c r="AZ9"/>
  <c r="AX11"/>
  <c r="AZ7"/>
  <c r="BB77" i="1"/>
  <c r="AZ6"/>
  <c r="AZ7"/>
  <c r="AX8"/>
  <c r="AZ10"/>
  <c r="AZ13"/>
  <c r="AZ16"/>
  <c r="AZ19"/>
  <c r="AZ22"/>
  <c r="AZ25"/>
  <c r="AZ28"/>
  <c r="AZ31"/>
  <c r="AZ34"/>
  <c r="AZ37"/>
  <c r="AZ40"/>
  <c r="AZ43"/>
  <c r="AZ46"/>
  <c r="BC49"/>
  <c r="AY50"/>
  <c r="BA53"/>
  <c r="BC55"/>
  <c r="AY56"/>
  <c r="BA59"/>
  <c r="BC61"/>
  <c r="AY62"/>
  <c r="BA65"/>
  <c r="BC67"/>
  <c r="AY68"/>
  <c r="BC69"/>
  <c r="BC70"/>
  <c r="AY71"/>
  <c r="AY74"/>
  <c r="BA75"/>
  <c r="BA76"/>
  <c r="AX49"/>
  <c r="AX50" s="1"/>
  <c r="BA50"/>
  <c r="AX51"/>
  <c r="AY52"/>
  <c r="BC52"/>
  <c r="AX55"/>
  <c r="AX56" s="1"/>
  <c r="AX57"/>
  <c r="AX59" s="1"/>
  <c r="AY58"/>
  <c r="BC58"/>
  <c r="AX61"/>
  <c r="AX62" s="1"/>
  <c r="AX63"/>
  <c r="AX65" s="1"/>
  <c r="AY64"/>
  <c r="BC64"/>
  <c r="AX67"/>
  <c r="AX68" s="1"/>
  <c r="AX70"/>
  <c r="AX71" s="1"/>
  <c r="BB77" i="2"/>
  <c r="AY8"/>
  <c r="AY11"/>
  <c r="AY14"/>
  <c r="AY17"/>
  <c r="AY20"/>
  <c r="AY23"/>
  <c r="AY26"/>
  <c r="AY29"/>
  <c r="AY32"/>
  <c r="AY35"/>
  <c r="AY38"/>
  <c r="AX49"/>
  <c r="AX50" s="1"/>
  <c r="BA50"/>
  <c r="AZ52"/>
  <c r="AX54"/>
  <c r="AX75" s="1"/>
  <c r="BC54"/>
  <c r="AY55"/>
  <c r="BC55"/>
  <c r="AX61"/>
  <c r="AX62" s="1"/>
  <c r="BC61"/>
  <c r="AX64"/>
  <c r="AX65" s="1"/>
  <c r="BA65"/>
  <c r="AZ67"/>
  <c r="BC70"/>
  <c r="AY71"/>
  <c r="AY74"/>
  <c r="AY75"/>
  <c r="BA75"/>
  <c r="BA76"/>
  <c r="AX8"/>
  <c r="AZ40"/>
  <c r="AZ43"/>
  <c r="AZ46"/>
  <c r="BC49"/>
  <c r="AZ58"/>
  <c r="AZ75" i="6"/>
  <c r="AX77"/>
  <c r="AZ76" i="5"/>
  <c r="AZ75"/>
  <c r="AX77"/>
  <c r="AZ73"/>
  <c r="AZ69" i="6"/>
  <c r="AX71"/>
  <c r="AZ69" i="5"/>
  <c r="AX71"/>
  <c r="AZ66"/>
  <c r="AX68"/>
  <c r="AZ66" i="6"/>
  <c r="AX68"/>
  <c r="AZ63"/>
  <c r="AX65"/>
  <c r="AZ64" i="5"/>
  <c r="AZ63"/>
  <c r="AX65"/>
  <c r="AZ60"/>
  <c r="AX62"/>
  <c r="AZ60" i="6"/>
  <c r="AX62"/>
  <c r="AZ57"/>
  <c r="AX59"/>
  <c r="AZ57" i="5"/>
  <c r="AX59"/>
  <c r="AZ55"/>
  <c r="AZ54" i="6"/>
  <c r="AX56"/>
  <c r="AZ52"/>
  <c r="AZ51"/>
  <c r="AX53"/>
  <c r="AZ52" i="5"/>
  <c r="AZ51"/>
  <c r="AX53"/>
  <c r="AZ49"/>
  <c r="AZ48"/>
  <c r="AX50"/>
  <c r="AZ45" i="6"/>
  <c r="AX47"/>
  <c r="AZ46" i="5"/>
  <c r="AZ45"/>
  <c r="AX47"/>
  <c r="AZ43"/>
  <c r="AZ42"/>
  <c r="AX44"/>
  <c r="AZ42" i="6"/>
  <c r="AX44"/>
  <c r="AZ39"/>
  <c r="AX41"/>
  <c r="AZ40" i="5"/>
  <c r="AZ39"/>
  <c r="AX41"/>
  <c r="AZ37"/>
  <c r="AZ36"/>
  <c r="AX38"/>
  <c r="AZ36" i="6"/>
  <c r="AX38"/>
  <c r="AZ33"/>
  <c r="AX35"/>
  <c r="AZ34" i="5"/>
  <c r="AZ33"/>
  <c r="AX35"/>
  <c r="AZ31"/>
  <c r="AZ30" i="6"/>
  <c r="AX32"/>
  <c r="AX80"/>
  <c r="AZ27"/>
  <c r="AX29"/>
  <c r="BC78"/>
  <c r="BA80"/>
  <c r="AZ28" i="5"/>
  <c r="AX80"/>
  <c r="AZ27"/>
  <c r="AX29"/>
  <c r="BC78"/>
  <c r="AZ25"/>
  <c r="AZ24"/>
  <c r="AX26"/>
  <c r="AZ19"/>
  <c r="AZ18"/>
  <c r="AX20"/>
  <c r="AZ16"/>
  <c r="AZ13"/>
  <c r="AZ12"/>
  <c r="AX14"/>
  <c r="AZ10"/>
  <c r="AZ9"/>
  <c r="AX11"/>
  <c r="AZ7"/>
  <c r="BA80"/>
  <c r="AZ16" i="6"/>
  <c r="AZ10"/>
  <c r="AY8" i="5"/>
  <c r="AY11"/>
  <c r="AY14"/>
  <c r="AY17"/>
  <c r="AY20"/>
  <c r="AY23"/>
  <c r="AY26"/>
  <c r="AY29"/>
  <c r="AY32"/>
  <c r="AY35"/>
  <c r="AY38"/>
  <c r="AY41"/>
  <c r="AY44"/>
  <c r="AY47"/>
  <c r="AY50"/>
  <c r="AY53"/>
  <c r="AY56"/>
  <c r="AY59"/>
  <c r="AY62"/>
  <c r="AY65"/>
  <c r="AY68"/>
  <c r="AY71"/>
  <c r="AY74"/>
  <c r="AY77"/>
  <c r="AY78"/>
  <c r="AZ78" s="1"/>
  <c r="AY79"/>
  <c r="BC79"/>
  <c r="AX8"/>
  <c r="AY8" i="6"/>
  <c r="AY11"/>
  <c r="AY14"/>
  <c r="AY17"/>
  <c r="AY20"/>
  <c r="AY23"/>
  <c r="AY26"/>
  <c r="AY29"/>
  <c r="AY32"/>
  <c r="AY35"/>
  <c r="AY38"/>
  <c r="AY41"/>
  <c r="AY44"/>
  <c r="AY47"/>
  <c r="AY50"/>
  <c r="AY53"/>
  <c r="AY56"/>
  <c r="AY59"/>
  <c r="AY62"/>
  <c r="AY65"/>
  <c r="AY68"/>
  <c r="AY71"/>
  <c r="AY74"/>
  <c r="AY77"/>
  <c r="AY78"/>
  <c r="AZ78" s="1"/>
  <c r="AY79"/>
  <c r="BC79"/>
  <c r="AX17"/>
  <c r="AZ42" i="3"/>
  <c r="AX44"/>
  <c r="AZ39"/>
  <c r="AX41"/>
  <c r="AZ37"/>
  <c r="AZ36"/>
  <c r="AX38"/>
  <c r="AZ30"/>
  <c r="AX32"/>
  <c r="AZ28"/>
  <c r="AX29"/>
  <c r="AZ22"/>
  <c r="AZ21"/>
  <c r="AX23"/>
  <c r="AZ19"/>
  <c r="AZ18"/>
  <c r="AX20"/>
  <c r="AZ16"/>
  <c r="AZ15"/>
  <c r="AX17"/>
  <c r="AZ10"/>
  <c r="AX11"/>
  <c r="AZ7"/>
  <c r="AZ6"/>
  <c r="AX47"/>
  <c r="BC45"/>
  <c r="BA47"/>
  <c r="AZ40" i="4"/>
  <c r="AZ39"/>
  <c r="AX41"/>
  <c r="AZ36"/>
  <c r="AX38"/>
  <c r="AZ24"/>
  <c r="AX26"/>
  <c r="AZ22"/>
  <c r="AZ21"/>
  <c r="AX23"/>
  <c r="AZ16"/>
  <c r="AZ15"/>
  <c r="AX17"/>
  <c r="AZ7"/>
  <c r="AZ6"/>
  <c r="AX47"/>
  <c r="BA47"/>
  <c r="AY8" i="3"/>
  <c r="AY11"/>
  <c r="AY14"/>
  <c r="AY17"/>
  <c r="AY20"/>
  <c r="AY23"/>
  <c r="AY26"/>
  <c r="AY29"/>
  <c r="AY32"/>
  <c r="AY35"/>
  <c r="AY38"/>
  <c r="AY41"/>
  <c r="AY44"/>
  <c r="AY45"/>
  <c r="AZ45" s="1"/>
  <c r="AY46"/>
  <c r="BC46"/>
  <c r="AX8"/>
  <c r="AY8" i="4"/>
  <c r="AY11"/>
  <c r="AY14"/>
  <c r="AY17"/>
  <c r="AY20"/>
  <c r="AY23"/>
  <c r="AY26"/>
  <c r="AY29"/>
  <c r="AY32"/>
  <c r="AY35"/>
  <c r="AY38"/>
  <c r="AY41"/>
  <c r="AY44"/>
  <c r="AY45"/>
  <c r="AZ45" s="1"/>
  <c r="AY46"/>
  <c r="BC46"/>
  <c r="AX8"/>
  <c r="AT69" i="1"/>
  <c r="AT66"/>
  <c r="AS68"/>
  <c r="AT69" i="2"/>
  <c r="AS65"/>
  <c r="AS62"/>
  <c r="AS56"/>
  <c r="AS50"/>
  <c r="AS35"/>
  <c r="AS32"/>
  <c r="AS29"/>
  <c r="AS26"/>
  <c r="AS23"/>
  <c r="AS20"/>
  <c r="AS17"/>
  <c r="AS14"/>
  <c r="AS11"/>
  <c r="AS8"/>
  <c r="AV80" i="5"/>
  <c r="AV80" i="6"/>
  <c r="AV47" i="3"/>
  <c r="AV47" i="4"/>
  <c r="AT39" i="1"/>
  <c r="AR41"/>
  <c r="AT73"/>
  <c r="AT72"/>
  <c r="AR74"/>
  <c r="AT37"/>
  <c r="AT36"/>
  <c r="AR38"/>
  <c r="AT34"/>
  <c r="AT33"/>
  <c r="AR35"/>
  <c r="AT31"/>
  <c r="AT28"/>
  <c r="AT27"/>
  <c r="AR29"/>
  <c r="AT22"/>
  <c r="AT21"/>
  <c r="AR23"/>
  <c r="AT19"/>
  <c r="AT18"/>
  <c r="AR20"/>
  <c r="AT16"/>
  <c r="AT15"/>
  <c r="AR17"/>
  <c r="AT13"/>
  <c r="AT10"/>
  <c r="AT9"/>
  <c r="AR11"/>
  <c r="AT73" i="2"/>
  <c r="AT72"/>
  <c r="AR74"/>
  <c r="AT36"/>
  <c r="AR38"/>
  <c r="AT33"/>
  <c r="AR35"/>
  <c r="AT27"/>
  <c r="AR29"/>
  <c r="AT24"/>
  <c r="AR26"/>
  <c r="AT21"/>
  <c r="AR23"/>
  <c r="AT18"/>
  <c r="AR20"/>
  <c r="AT15"/>
  <c r="AR17"/>
  <c r="AT12"/>
  <c r="AR14"/>
  <c r="AT9"/>
  <c r="AR11"/>
  <c r="AV77" i="1"/>
  <c r="AS8"/>
  <c r="AS11"/>
  <c r="AS14"/>
  <c r="AS17"/>
  <c r="AS20"/>
  <c r="AS23"/>
  <c r="AS26"/>
  <c r="AS29"/>
  <c r="AS32"/>
  <c r="AS35"/>
  <c r="AS38"/>
  <c r="AS41"/>
  <c r="AS44"/>
  <c r="AS47"/>
  <c r="AW48"/>
  <c r="AW49"/>
  <c r="AS50"/>
  <c r="AU53"/>
  <c r="AW55"/>
  <c r="AS56"/>
  <c r="AU59"/>
  <c r="AW61"/>
  <c r="AS62"/>
  <c r="AU65"/>
  <c r="AT6"/>
  <c r="AT7"/>
  <c r="AR8"/>
  <c r="AR48"/>
  <c r="AR49"/>
  <c r="AR50" s="1"/>
  <c r="AU50"/>
  <c r="AR51"/>
  <c r="AR53" s="1"/>
  <c r="AS52"/>
  <c r="AW52"/>
  <c r="AR55"/>
  <c r="AR56" s="1"/>
  <c r="AR57"/>
  <c r="AT57" s="1"/>
  <c r="AS58"/>
  <c r="AW58"/>
  <c r="AR61"/>
  <c r="AR62" s="1"/>
  <c r="AR63"/>
  <c r="AT63" s="1"/>
  <c r="AS64"/>
  <c r="AW64"/>
  <c r="AT67"/>
  <c r="AW70"/>
  <c r="AS71"/>
  <c r="AS74"/>
  <c r="AU75"/>
  <c r="AU76"/>
  <c r="AW67"/>
  <c r="AR70"/>
  <c r="AR71" s="1"/>
  <c r="AV77" i="2"/>
  <c r="AT6"/>
  <c r="AT7"/>
  <c r="AR8"/>
  <c r="AT10"/>
  <c r="AT13"/>
  <c r="AT16"/>
  <c r="AT19"/>
  <c r="AT22"/>
  <c r="AT25"/>
  <c r="AT28"/>
  <c r="AT31"/>
  <c r="AT34"/>
  <c r="AT37"/>
  <c r="AT40"/>
  <c r="AT43"/>
  <c r="AT46"/>
  <c r="AR48"/>
  <c r="AT48" s="1"/>
  <c r="AR49"/>
  <c r="AU50"/>
  <c r="AT52"/>
  <c r="AR54"/>
  <c r="AT54" s="1"/>
  <c r="AR55"/>
  <c r="AT55"/>
  <c r="AU56"/>
  <c r="AT58"/>
  <c r="AR60"/>
  <c r="AT60" s="1"/>
  <c r="AR61"/>
  <c r="AR62" s="1"/>
  <c r="AU62"/>
  <c r="AR63"/>
  <c r="AT63" s="1"/>
  <c r="AR64"/>
  <c r="AU65"/>
  <c r="AT67"/>
  <c r="AW70"/>
  <c r="AS71"/>
  <c r="AS74"/>
  <c r="AU75"/>
  <c r="AS76"/>
  <c r="AU76"/>
  <c r="AW48"/>
  <c r="AW49"/>
  <c r="AR70"/>
  <c r="AR71" s="1"/>
  <c r="AT75" i="5"/>
  <c r="AR77"/>
  <c r="AT72" i="6"/>
  <c r="AR74"/>
  <c r="AT72" i="5"/>
  <c r="AR74"/>
  <c r="AT69"/>
  <c r="AR71"/>
  <c r="AT66"/>
  <c r="AR68"/>
  <c r="AT63"/>
  <c r="AR65"/>
  <c r="AT60"/>
  <c r="AR62"/>
  <c r="AT61" i="6"/>
  <c r="AT57"/>
  <c r="AR59"/>
  <c r="AT57" i="5"/>
  <c r="AR59"/>
  <c r="AT54"/>
  <c r="AR56"/>
  <c r="AT54" i="6"/>
  <c r="AR56"/>
  <c r="AT51"/>
  <c r="AR53"/>
  <c r="AT52" i="5"/>
  <c r="AT51"/>
  <c r="AR53"/>
  <c r="AT45" i="6"/>
  <c r="AR47"/>
  <c r="AT45" i="5"/>
  <c r="AR47"/>
  <c r="AT43"/>
  <c r="AT42"/>
  <c r="AR44"/>
  <c r="AT42" i="6"/>
  <c r="AR44"/>
  <c r="AR38" i="5"/>
  <c r="AT34" i="6"/>
  <c r="AR35"/>
  <c r="AT34" i="5"/>
  <c r="AT33"/>
  <c r="AR35"/>
  <c r="AT30"/>
  <c r="AR32"/>
  <c r="AW78"/>
  <c r="AT31" i="6"/>
  <c r="AT28"/>
  <c r="AT27"/>
  <c r="AR29"/>
  <c r="AT25" i="5"/>
  <c r="AT16"/>
  <c r="AT13"/>
  <c r="AT12"/>
  <c r="AR14"/>
  <c r="AT10"/>
  <c r="AT7"/>
  <c r="AT6"/>
  <c r="AR80"/>
  <c r="AU80"/>
  <c r="AT25" i="6"/>
  <c r="AT24"/>
  <c r="AR26"/>
  <c r="AT16"/>
  <c r="AT15"/>
  <c r="AR80"/>
  <c r="AT10"/>
  <c r="AT7"/>
  <c r="AT6"/>
  <c r="AR8"/>
  <c r="AW78"/>
  <c r="AU80"/>
  <c r="AS8" i="5"/>
  <c r="AS11"/>
  <c r="AS14"/>
  <c r="AS17"/>
  <c r="AS20"/>
  <c r="AS23"/>
  <c r="AS26"/>
  <c r="AS29"/>
  <c r="AS32"/>
  <c r="AS35"/>
  <c r="AS38"/>
  <c r="AS41"/>
  <c r="AS44"/>
  <c r="AS47"/>
  <c r="AS50"/>
  <c r="AS53"/>
  <c r="AS56"/>
  <c r="AS59"/>
  <c r="AS62"/>
  <c r="AS65"/>
  <c r="AS68"/>
  <c r="AS71"/>
  <c r="AS74"/>
  <c r="AS77"/>
  <c r="AS78"/>
  <c r="AT78" s="1"/>
  <c r="AS79"/>
  <c r="AW79"/>
  <c r="AR8"/>
  <c r="AS8" i="6"/>
  <c r="AS11"/>
  <c r="AS14"/>
  <c r="AS17"/>
  <c r="AS20"/>
  <c r="AS23"/>
  <c r="AS26"/>
  <c r="AS29"/>
  <c r="AS32"/>
  <c r="AS35"/>
  <c r="AS38"/>
  <c r="AS41"/>
  <c r="AS44"/>
  <c r="AS47"/>
  <c r="AS50"/>
  <c r="AS53"/>
  <c r="AS56"/>
  <c r="AS59"/>
  <c r="AS62"/>
  <c r="AS65"/>
  <c r="AS68"/>
  <c r="AS71"/>
  <c r="AS74"/>
  <c r="AS77"/>
  <c r="AS78"/>
  <c r="AT78" s="1"/>
  <c r="AS79"/>
  <c r="AW79"/>
  <c r="AR17"/>
  <c r="AT42" i="3"/>
  <c r="AR44"/>
  <c r="AT36"/>
  <c r="AR38"/>
  <c r="AT31"/>
  <c r="AT30"/>
  <c r="AR32"/>
  <c r="AT22"/>
  <c r="AT21"/>
  <c r="AR23"/>
  <c r="AT18"/>
  <c r="AR20"/>
  <c r="AT16"/>
  <c r="AT12"/>
  <c r="AR14"/>
  <c r="AT10"/>
  <c r="AT9"/>
  <c r="AR11"/>
  <c r="AT39" i="4"/>
  <c r="AR41"/>
  <c r="AT37"/>
  <c r="AT36"/>
  <c r="AR38"/>
  <c r="AT22"/>
  <c r="AT21"/>
  <c r="AR23"/>
  <c r="AT16"/>
  <c r="AT15"/>
  <c r="AR17"/>
  <c r="AT10"/>
  <c r="AT9"/>
  <c r="AR11"/>
  <c r="AT7"/>
  <c r="AT6"/>
  <c r="AR47"/>
  <c r="AW45"/>
  <c r="AU47"/>
  <c r="AS8"/>
  <c r="AS11"/>
  <c r="AS14"/>
  <c r="AS17"/>
  <c r="AS20"/>
  <c r="AS23"/>
  <c r="AS26"/>
  <c r="AS29"/>
  <c r="AS32"/>
  <c r="AS35"/>
  <c r="AS38"/>
  <c r="AS41"/>
  <c r="AS44"/>
  <c r="AS45"/>
  <c r="AT45" s="1"/>
  <c r="AS46"/>
  <c r="AW46"/>
  <c r="AR8"/>
  <c r="AT7" i="3"/>
  <c r="AU47"/>
  <c r="AT6"/>
  <c r="AR47"/>
  <c r="AW45"/>
  <c r="AS8"/>
  <c r="AS11"/>
  <c r="AS14"/>
  <c r="AS17"/>
  <c r="AS20"/>
  <c r="AS23"/>
  <c r="AS26"/>
  <c r="AS29"/>
  <c r="AS32"/>
  <c r="AS35"/>
  <c r="AS38"/>
  <c r="AS41"/>
  <c r="AS44"/>
  <c r="AS45"/>
  <c r="AT45" s="1"/>
  <c r="AS46"/>
  <c r="AW46"/>
  <c r="AR8"/>
  <c r="AN54" i="1"/>
  <c r="AP75"/>
  <c r="AM70" i="2"/>
  <c r="AM71" s="1"/>
  <c r="AN69"/>
  <c r="AN48"/>
  <c r="AM50"/>
  <c r="AN12" i="1"/>
  <c r="AM38"/>
  <c r="AM32"/>
  <c r="AN27"/>
  <c r="AM29"/>
  <c r="AN24"/>
  <c r="AM26"/>
  <c r="AN21"/>
  <c r="AM23"/>
  <c r="AN18"/>
  <c r="AM20"/>
  <c r="AN15"/>
  <c r="AM17"/>
  <c r="AM14"/>
  <c r="AM11"/>
  <c r="AM8"/>
  <c r="AN75" i="5"/>
  <c r="AM77"/>
  <c r="AN72"/>
  <c r="AM74"/>
  <c r="AM71"/>
  <c r="AN66"/>
  <c r="AM68"/>
  <c r="AN63"/>
  <c r="AM65"/>
  <c r="AN60"/>
  <c r="AM62"/>
  <c r="AM59"/>
  <c r="AM56"/>
  <c r="AM53"/>
  <c r="AM50"/>
  <c r="AM47"/>
  <c r="AM44"/>
  <c r="AN39"/>
  <c r="AM41"/>
  <c r="AN36"/>
  <c r="AM38"/>
  <c r="AM35"/>
  <c r="AM32"/>
  <c r="AM29"/>
  <c r="AM26"/>
  <c r="AM20"/>
  <c r="AP80"/>
  <c r="AM17"/>
  <c r="AM11"/>
  <c r="AP80" i="6"/>
  <c r="AQ45" i="3"/>
  <c r="AP47"/>
  <c r="AQ45" i="4"/>
  <c r="AL68" i="1"/>
  <c r="AN64" i="2"/>
  <c r="AN58"/>
  <c r="AN57"/>
  <c r="AL59"/>
  <c r="AL50"/>
  <c r="AL47" i="1"/>
  <c r="AN42" i="2"/>
  <c r="AL44"/>
  <c r="AL41" i="1"/>
  <c r="AN72"/>
  <c r="AL74"/>
  <c r="AL38"/>
  <c r="AL35"/>
  <c r="AL32"/>
  <c r="AL29"/>
  <c r="AL26"/>
  <c r="AL23"/>
  <c r="AL20"/>
  <c r="AL17"/>
  <c r="AL11"/>
  <c r="AN6"/>
  <c r="AN7"/>
  <c r="AL8"/>
  <c r="AN10"/>
  <c r="AN13"/>
  <c r="AN16"/>
  <c r="AN19"/>
  <c r="AN22"/>
  <c r="AN25"/>
  <c r="AN28"/>
  <c r="AN31"/>
  <c r="AN34"/>
  <c r="AN37"/>
  <c r="AN40"/>
  <c r="AN43"/>
  <c r="AN46"/>
  <c r="AQ49"/>
  <c r="AM50"/>
  <c r="AO53"/>
  <c r="AQ55"/>
  <c r="AM56"/>
  <c r="AO59"/>
  <c r="AQ61"/>
  <c r="AM62"/>
  <c r="AO65"/>
  <c r="AQ70"/>
  <c r="AM71"/>
  <c r="AM74"/>
  <c r="AO75"/>
  <c r="AO76"/>
  <c r="AL49"/>
  <c r="AL50" s="1"/>
  <c r="AO50"/>
  <c r="AL51"/>
  <c r="AM52"/>
  <c r="AQ52"/>
  <c r="AL55"/>
  <c r="AL56" s="1"/>
  <c r="AL57"/>
  <c r="AL59" s="1"/>
  <c r="AM58"/>
  <c r="AQ58"/>
  <c r="AL61"/>
  <c r="AL62" s="1"/>
  <c r="AL63"/>
  <c r="AL65" s="1"/>
  <c r="AM64"/>
  <c r="AQ64"/>
  <c r="AM66"/>
  <c r="AN66" s="1"/>
  <c r="AQ66"/>
  <c r="AM67"/>
  <c r="AQ67"/>
  <c r="AL70"/>
  <c r="AL71" s="1"/>
  <c r="AL74" i="2"/>
  <c r="AN37"/>
  <c r="AN36"/>
  <c r="AL38"/>
  <c r="AN31"/>
  <c r="AN30"/>
  <c r="AL32"/>
  <c r="AN28"/>
  <c r="AN25"/>
  <c r="AN24"/>
  <c r="AL26"/>
  <c r="AN22"/>
  <c r="AN21"/>
  <c r="AL23"/>
  <c r="AN19"/>
  <c r="AN18"/>
  <c r="AL20"/>
  <c r="AN16"/>
  <c r="AN15"/>
  <c r="AL17"/>
  <c r="AN13"/>
  <c r="AN12"/>
  <c r="AL14"/>
  <c r="AN10"/>
  <c r="AN9"/>
  <c r="AL11"/>
  <c r="AN7"/>
  <c r="AN6"/>
  <c r="AP77"/>
  <c r="AM8"/>
  <c r="AM11"/>
  <c r="AM14"/>
  <c r="AM17"/>
  <c r="AM20"/>
  <c r="AM23"/>
  <c r="AM26"/>
  <c r="AM29"/>
  <c r="AM32"/>
  <c r="AM35"/>
  <c r="AM38"/>
  <c r="AM41"/>
  <c r="AM44"/>
  <c r="AM47"/>
  <c r="AN49"/>
  <c r="AO50"/>
  <c r="AN52"/>
  <c r="AQ55"/>
  <c r="AM56"/>
  <c r="AM59"/>
  <c r="AQ64"/>
  <c r="AM65"/>
  <c r="AM68"/>
  <c r="AL70"/>
  <c r="AL71" s="1"/>
  <c r="AQ70"/>
  <c r="AM75"/>
  <c r="AO75"/>
  <c r="AO76"/>
  <c r="AL8"/>
  <c r="AQ49"/>
  <c r="AP50"/>
  <c r="AL55"/>
  <c r="AL56" s="1"/>
  <c r="AL60"/>
  <c r="AL62" s="1"/>
  <c r="AM61"/>
  <c r="AQ61"/>
  <c r="AN73"/>
  <c r="AN75" i="6"/>
  <c r="AL77"/>
  <c r="AL77" i="5"/>
  <c r="AL74"/>
  <c r="AL71"/>
  <c r="AL68"/>
  <c r="AN66" i="6"/>
  <c r="AL68"/>
  <c r="AL62" i="5"/>
  <c r="AN58" i="6"/>
  <c r="AN57"/>
  <c r="AL59"/>
  <c r="AL59" i="5"/>
  <c r="AL56"/>
  <c r="AN55" i="6"/>
  <c r="AN54"/>
  <c r="AL56"/>
  <c r="AN51"/>
  <c r="AL53"/>
  <c r="AL50" i="5"/>
  <c r="AN45" i="6"/>
  <c r="AL47"/>
  <c r="AL47" i="5"/>
  <c r="AL44"/>
  <c r="AN42" i="6"/>
  <c r="AL44"/>
  <c r="AN39"/>
  <c r="AL41"/>
  <c r="AL41" i="5"/>
  <c r="AN36" i="6"/>
  <c r="AL38"/>
  <c r="AN34"/>
  <c r="AN33"/>
  <c r="AL35"/>
  <c r="AL35" i="5"/>
  <c r="AL32"/>
  <c r="AN31" i="6"/>
  <c r="AN30"/>
  <c r="AL32"/>
  <c r="AN27"/>
  <c r="AL29"/>
  <c r="AL26" i="5"/>
  <c r="AL20"/>
  <c r="AQ78"/>
  <c r="AN16" i="6"/>
  <c r="AN15"/>
  <c r="AL80"/>
  <c r="AN7"/>
  <c r="AO80"/>
  <c r="AN6"/>
  <c r="AL8"/>
  <c r="AQ78"/>
  <c r="AN79" i="5"/>
  <c r="AM80"/>
  <c r="AN78"/>
  <c r="AL80"/>
  <c r="AM8"/>
  <c r="AQ79"/>
  <c r="AN6"/>
  <c r="AN7"/>
  <c r="AL8"/>
  <c r="AN10"/>
  <c r="AN13"/>
  <c r="AN16"/>
  <c r="AN19"/>
  <c r="AN22"/>
  <c r="AN25"/>
  <c r="AN28"/>
  <c r="AN31"/>
  <c r="AN34"/>
  <c r="AN37"/>
  <c r="AN40"/>
  <c r="AN43"/>
  <c r="AN46"/>
  <c r="AN49"/>
  <c r="AN52"/>
  <c r="AN55"/>
  <c r="AN58"/>
  <c r="AN61"/>
  <c r="AN64"/>
  <c r="AN67"/>
  <c r="AN70"/>
  <c r="AN73"/>
  <c r="AN76"/>
  <c r="AM8" i="6"/>
  <c r="AM11"/>
  <c r="AM14"/>
  <c r="AM17"/>
  <c r="AM20"/>
  <c r="AM23"/>
  <c r="AM26"/>
  <c r="AM29"/>
  <c r="AM32"/>
  <c r="AM35"/>
  <c r="AM38"/>
  <c r="AM41"/>
  <c r="AM44"/>
  <c r="AM47"/>
  <c r="AM50"/>
  <c r="AM53"/>
  <c r="AM56"/>
  <c r="AM59"/>
  <c r="AM62"/>
  <c r="AM65"/>
  <c r="AM68"/>
  <c r="AM71"/>
  <c r="AM74"/>
  <c r="AM77"/>
  <c r="AM78"/>
  <c r="AN78" s="1"/>
  <c r="AM79"/>
  <c r="AQ79"/>
  <c r="AL17"/>
  <c r="AL46" i="3"/>
  <c r="AN43"/>
  <c r="AN42"/>
  <c r="AL44"/>
  <c r="AN39"/>
  <c r="AL41"/>
  <c r="AN36"/>
  <c r="AL38"/>
  <c r="AN30"/>
  <c r="AL32"/>
  <c r="AN27"/>
  <c r="AL29"/>
  <c r="AL45"/>
  <c r="AN21"/>
  <c r="AL23"/>
  <c r="AN19"/>
  <c r="AN18"/>
  <c r="AL20"/>
  <c r="AL47"/>
  <c r="AN15"/>
  <c r="AL17"/>
  <c r="AN10"/>
  <c r="AL11"/>
  <c r="AN7"/>
  <c r="AO47"/>
  <c r="AM8"/>
  <c r="AM11"/>
  <c r="AM14"/>
  <c r="AM17"/>
  <c r="AM20"/>
  <c r="AM23"/>
  <c r="AM26"/>
  <c r="AM29"/>
  <c r="AM32"/>
  <c r="AM35"/>
  <c r="AM38"/>
  <c r="AM41"/>
  <c r="AM44"/>
  <c r="AM45"/>
  <c r="AN45" s="1"/>
  <c r="AM46"/>
  <c r="AQ46"/>
  <c r="AL8"/>
  <c r="AN39" i="4"/>
  <c r="AL41"/>
  <c r="AN27"/>
  <c r="AL29"/>
  <c r="AN24"/>
  <c r="AL26"/>
  <c r="AN21"/>
  <c r="AL23"/>
  <c r="AN18"/>
  <c r="AL20"/>
  <c r="AN15"/>
  <c r="AL17"/>
  <c r="AN9"/>
  <c r="AL11"/>
  <c r="AO47"/>
  <c r="AN6"/>
  <c r="AL47"/>
  <c r="AM8"/>
  <c r="AM11"/>
  <c r="AM14"/>
  <c r="AM17"/>
  <c r="AM20"/>
  <c r="AM23"/>
  <c r="AM26"/>
  <c r="AM29"/>
  <c r="AM32"/>
  <c r="AM35"/>
  <c r="AM38"/>
  <c r="AM41"/>
  <c r="AM44"/>
  <c r="AM45"/>
  <c r="AN45" s="1"/>
  <c r="AM46"/>
  <c r="AQ46"/>
  <c r="AL8"/>
  <c r="AG56" i="2"/>
  <c r="AG50"/>
  <c r="AG44"/>
  <c r="AG20"/>
  <c r="AG17"/>
  <c r="AG14"/>
  <c r="AG11"/>
  <c r="AG8"/>
  <c r="AH63" i="1"/>
  <c r="AH63" i="2"/>
  <c r="AH73" i="1"/>
  <c r="AH72"/>
  <c r="AF74"/>
  <c r="AH37"/>
  <c r="AH36"/>
  <c r="AF38"/>
  <c r="AH34"/>
  <c r="AH33"/>
  <c r="AF35"/>
  <c r="AH31"/>
  <c r="AH30"/>
  <c r="AF32"/>
  <c r="AH28"/>
  <c r="AH27"/>
  <c r="AF29"/>
  <c r="AH25"/>
  <c r="AH24"/>
  <c r="AF26"/>
  <c r="AH22"/>
  <c r="AH21"/>
  <c r="AF23"/>
  <c r="AH19"/>
  <c r="AH18"/>
  <c r="AF20"/>
  <c r="AH16"/>
  <c r="AH15"/>
  <c r="AF17"/>
  <c r="AH13"/>
  <c r="AH12"/>
  <c r="AF14"/>
  <c r="AH10"/>
  <c r="AH9"/>
  <c r="AF11"/>
  <c r="AH7"/>
  <c r="AH6"/>
  <c r="AH73" i="2"/>
  <c r="AH72"/>
  <c r="AF74"/>
  <c r="AH36"/>
  <c r="AF38"/>
  <c r="AH30"/>
  <c r="AF32"/>
  <c r="AH27"/>
  <c r="AF29"/>
  <c r="AH24"/>
  <c r="AF26"/>
  <c r="AH21"/>
  <c r="AF23"/>
  <c r="AH18"/>
  <c r="AF20"/>
  <c r="AH15"/>
  <c r="AF17"/>
  <c r="AH12"/>
  <c r="AF14"/>
  <c r="AH9"/>
  <c r="AF11"/>
  <c r="AH54" i="1"/>
  <c r="AH60"/>
  <c r="AH66"/>
  <c r="AJ77"/>
  <c r="AH69"/>
  <c r="AG8"/>
  <c r="AG11"/>
  <c r="AG14"/>
  <c r="AG17"/>
  <c r="AG20"/>
  <c r="AG23"/>
  <c r="AG26"/>
  <c r="AG29"/>
  <c r="AG32"/>
  <c r="AG35"/>
  <c r="AG38"/>
  <c r="AG41"/>
  <c r="AG44"/>
  <c r="AG47"/>
  <c r="AK48"/>
  <c r="AK49"/>
  <c r="AG50"/>
  <c r="AK51"/>
  <c r="AK52"/>
  <c r="AG53"/>
  <c r="AK54"/>
  <c r="AK55"/>
  <c r="AG56"/>
  <c r="AK57"/>
  <c r="AK58"/>
  <c r="AG59"/>
  <c r="AK60"/>
  <c r="AK61"/>
  <c r="AG62"/>
  <c r="AK63"/>
  <c r="AK64"/>
  <c r="AG65"/>
  <c r="AK66"/>
  <c r="AK67"/>
  <c r="AG68"/>
  <c r="AK69"/>
  <c r="AK70"/>
  <c r="AG71"/>
  <c r="AG74"/>
  <c r="AG75"/>
  <c r="AI75"/>
  <c r="AG76"/>
  <c r="AI76"/>
  <c r="AF8"/>
  <c r="AF48"/>
  <c r="AH48" s="1"/>
  <c r="AF49"/>
  <c r="AI50"/>
  <c r="AF52"/>
  <c r="AF53" s="1"/>
  <c r="AF55"/>
  <c r="AF56" s="1"/>
  <c r="AF58"/>
  <c r="AF59" s="1"/>
  <c r="AF61"/>
  <c r="AF62" s="1"/>
  <c r="AF64"/>
  <c r="AF65" s="1"/>
  <c r="AF67"/>
  <c r="AF68" s="1"/>
  <c r="AF70"/>
  <c r="AF71" s="1"/>
  <c r="AJ77" i="2"/>
  <c r="AH6"/>
  <c r="AH7"/>
  <c r="AF8"/>
  <c r="AH10"/>
  <c r="AH13"/>
  <c r="AH16"/>
  <c r="AH19"/>
  <c r="AH22"/>
  <c r="AH25"/>
  <c r="AH28"/>
  <c r="AH31"/>
  <c r="AH34"/>
  <c r="AH37"/>
  <c r="AH40"/>
  <c r="AH43"/>
  <c r="AH46"/>
  <c r="AF48"/>
  <c r="AK48"/>
  <c r="AF50"/>
  <c r="AI50"/>
  <c r="AH52"/>
  <c r="AI56"/>
  <c r="AH58"/>
  <c r="AK61"/>
  <c r="AG62"/>
  <c r="AJ62"/>
  <c r="AK63"/>
  <c r="AK64"/>
  <c r="AG65"/>
  <c r="AG68"/>
  <c r="AH70"/>
  <c r="AG74"/>
  <c r="AI75"/>
  <c r="AG76"/>
  <c r="AI76"/>
  <c r="AK76" s="1"/>
  <c r="AH55"/>
  <c r="AF61"/>
  <c r="AF62" s="1"/>
  <c r="AF64"/>
  <c r="AF65" s="1"/>
  <c r="AF69"/>
  <c r="AF71" s="1"/>
  <c r="AJ80" i="6"/>
  <c r="AJ80" i="5"/>
  <c r="AH75" i="6"/>
  <c r="AF77"/>
  <c r="AH75" i="5"/>
  <c r="AF77"/>
  <c r="AH72"/>
  <c r="AF74"/>
  <c r="AH73" i="6"/>
  <c r="AH72"/>
  <c r="AF74"/>
  <c r="AH69" i="5"/>
  <c r="AF71"/>
  <c r="AH66"/>
  <c r="AF68"/>
  <c r="AF78"/>
  <c r="AF80" s="1"/>
  <c r="AH66" i="6"/>
  <c r="AF68"/>
  <c r="AH63" i="5"/>
  <c r="AF65"/>
  <c r="AH60"/>
  <c r="AF62"/>
  <c r="AH60" i="6"/>
  <c r="AF62"/>
  <c r="AH57"/>
  <c r="AF59"/>
  <c r="AF59" i="5"/>
  <c r="AH54"/>
  <c r="AF56"/>
  <c r="AH54" i="6"/>
  <c r="AF56"/>
  <c r="AH51"/>
  <c r="AF53"/>
  <c r="AH52" i="5"/>
  <c r="AH51"/>
  <c r="AF53"/>
  <c r="AH49"/>
  <c r="AH48"/>
  <c r="AF50"/>
  <c r="AH45" i="6"/>
  <c r="AF47"/>
  <c r="AH45" i="5"/>
  <c r="AF47"/>
  <c r="AH43"/>
  <c r="AH42"/>
  <c r="AF44"/>
  <c r="AH42" i="6"/>
  <c r="AF44"/>
  <c r="AH39" i="5"/>
  <c r="AF41"/>
  <c r="AH37"/>
  <c r="AH36"/>
  <c r="AF38"/>
  <c r="AH37" i="6"/>
  <c r="AH36"/>
  <c r="AF38"/>
  <c r="AH33"/>
  <c r="AF35"/>
  <c r="AH34" i="5"/>
  <c r="AH33"/>
  <c r="AF35"/>
  <c r="AH30"/>
  <c r="AF32"/>
  <c r="AH30" i="6"/>
  <c r="AF32"/>
  <c r="AH27"/>
  <c r="AF29"/>
  <c r="AH27" i="5"/>
  <c r="AF29"/>
  <c r="AH25"/>
  <c r="AH24"/>
  <c r="AF26"/>
  <c r="AH19"/>
  <c r="AH18"/>
  <c r="AF20"/>
  <c r="AH16"/>
  <c r="AH15"/>
  <c r="AF17"/>
  <c r="AH12"/>
  <c r="AF14"/>
  <c r="AH10"/>
  <c r="AH9"/>
  <c r="AF11"/>
  <c r="AH6"/>
  <c r="AK78"/>
  <c r="AI80"/>
  <c r="AH25" i="6"/>
  <c r="AF80"/>
  <c r="AH24"/>
  <c r="AF26"/>
  <c r="AH10"/>
  <c r="AH9"/>
  <c r="AF11"/>
  <c r="AH6"/>
  <c r="AF8"/>
  <c r="AK78"/>
  <c r="AI80"/>
  <c r="AG8" i="5"/>
  <c r="AG11"/>
  <c r="AG14"/>
  <c r="AG17"/>
  <c r="AG20"/>
  <c r="AG23"/>
  <c r="AG26"/>
  <c r="AG29"/>
  <c r="AG32"/>
  <c r="AG35"/>
  <c r="AG38"/>
  <c r="AG41"/>
  <c r="AG44"/>
  <c r="AG47"/>
  <c r="AG50"/>
  <c r="AG53"/>
  <c r="AG56"/>
  <c r="AG59"/>
  <c r="AG62"/>
  <c r="AG65"/>
  <c r="AG68"/>
  <c r="AG71"/>
  <c r="AG74"/>
  <c r="AG77"/>
  <c r="AG78"/>
  <c r="AH78" s="1"/>
  <c r="AG79"/>
  <c r="AK79"/>
  <c r="AF8"/>
  <c r="AG8" i="6"/>
  <c r="AG11"/>
  <c r="AG14"/>
  <c r="AG17"/>
  <c r="AG20"/>
  <c r="AG23"/>
  <c r="AG26"/>
  <c r="AG29"/>
  <c r="AG32"/>
  <c r="AG35"/>
  <c r="AG38"/>
  <c r="AG41"/>
  <c r="AG44"/>
  <c r="AG47"/>
  <c r="AG50"/>
  <c r="AG53"/>
  <c r="AG56"/>
  <c r="AG59"/>
  <c r="AG62"/>
  <c r="AG65"/>
  <c r="AG68"/>
  <c r="AG71"/>
  <c r="AG74"/>
  <c r="AG77"/>
  <c r="AG78"/>
  <c r="AH78" s="1"/>
  <c r="AG79"/>
  <c r="AK79"/>
  <c r="AF17"/>
  <c r="AJ47" i="3"/>
  <c r="AJ47" i="4"/>
  <c r="AH42" i="3"/>
  <c r="AF44"/>
  <c r="AH39"/>
  <c r="AF41"/>
  <c r="AH36"/>
  <c r="AF38"/>
  <c r="AH27"/>
  <c r="AF29"/>
  <c r="AH21"/>
  <c r="AF23"/>
  <c r="AH19"/>
  <c r="AH18"/>
  <c r="AF20"/>
  <c r="AH15"/>
  <c r="AF17"/>
  <c r="AH12"/>
  <c r="AF14"/>
  <c r="AH9"/>
  <c r="AF11"/>
  <c r="AH7"/>
  <c r="AH6"/>
  <c r="AF47"/>
  <c r="AK45"/>
  <c r="AI47"/>
  <c r="AG8"/>
  <c r="AG11"/>
  <c r="AG14"/>
  <c r="AG17"/>
  <c r="AG20"/>
  <c r="AG23"/>
  <c r="AG26"/>
  <c r="AG29"/>
  <c r="AG32"/>
  <c r="AG35"/>
  <c r="AG38"/>
  <c r="AG41"/>
  <c r="AG44"/>
  <c r="AG45"/>
  <c r="AH45" s="1"/>
  <c r="AG46"/>
  <c r="AK46"/>
  <c r="AF8"/>
  <c r="AH39" i="4"/>
  <c r="AF41"/>
  <c r="AH36"/>
  <c r="AF38"/>
  <c r="AH24"/>
  <c r="AF26"/>
  <c r="AH22"/>
  <c r="AH21"/>
  <c r="AF23"/>
  <c r="AH16"/>
  <c r="AH15"/>
  <c r="AF17"/>
  <c r="AH10"/>
  <c r="AH9"/>
  <c r="AF11"/>
  <c r="AH7"/>
  <c r="AH6"/>
  <c r="AF47"/>
  <c r="AK45"/>
  <c r="AI47"/>
  <c r="AG8"/>
  <c r="AG11"/>
  <c r="AG14"/>
  <c r="AG17"/>
  <c r="AG20"/>
  <c r="AG23"/>
  <c r="AG26"/>
  <c r="AG29"/>
  <c r="AG32"/>
  <c r="AG35"/>
  <c r="AG38"/>
  <c r="AG41"/>
  <c r="AG44"/>
  <c r="AG45"/>
  <c r="AH45" s="1"/>
  <c r="AG46"/>
  <c r="AK46"/>
  <c r="AF8"/>
  <c r="AD50" i="1"/>
  <c r="AA48"/>
  <c r="AD75"/>
  <c r="AD56" i="2"/>
  <c r="AA54"/>
  <c r="AB54" s="1"/>
  <c r="AB60" i="1"/>
  <c r="AB57"/>
  <c r="AB70" i="2"/>
  <c r="AB69"/>
  <c r="Z71"/>
  <c r="AB63"/>
  <c r="Z65"/>
  <c r="AB60"/>
  <c r="Z62"/>
  <c r="AB55"/>
  <c r="Z56"/>
  <c r="AB48"/>
  <c r="Z50"/>
  <c r="AB46" i="1"/>
  <c r="AB73"/>
  <c r="AB72"/>
  <c r="Z74"/>
  <c r="AB37"/>
  <c r="AB36"/>
  <c r="Z38"/>
  <c r="AB34"/>
  <c r="AB33"/>
  <c r="Z35"/>
  <c r="AB31"/>
  <c r="AB30"/>
  <c r="Z32"/>
  <c r="AB28"/>
  <c r="AB27"/>
  <c r="Z29"/>
  <c r="AB25"/>
  <c r="AB24"/>
  <c r="Z26"/>
  <c r="AB21"/>
  <c r="Z23"/>
  <c r="AB19"/>
  <c r="AB18"/>
  <c r="Z20"/>
  <c r="AB16"/>
  <c r="AB15"/>
  <c r="Z17"/>
  <c r="AB12"/>
  <c r="Z14"/>
  <c r="AB10"/>
  <c r="AB9"/>
  <c r="Z11"/>
  <c r="AB7"/>
  <c r="AB6"/>
  <c r="AD77"/>
  <c r="AB51"/>
  <c r="AB63"/>
  <c r="AB69"/>
  <c r="AA8"/>
  <c r="AA11"/>
  <c r="AA14"/>
  <c r="AA17"/>
  <c r="AA20"/>
  <c r="AA23"/>
  <c r="AA26"/>
  <c r="AA29"/>
  <c r="AA32"/>
  <c r="AA35"/>
  <c r="AA38"/>
  <c r="AA41"/>
  <c r="AA44"/>
  <c r="AA47"/>
  <c r="AE48"/>
  <c r="AE49"/>
  <c r="AA50"/>
  <c r="AE51"/>
  <c r="AE52"/>
  <c r="AA53"/>
  <c r="AE54"/>
  <c r="AE55"/>
  <c r="AA56"/>
  <c r="AE58"/>
  <c r="AA59"/>
  <c r="AE60"/>
  <c r="AE61"/>
  <c r="AA62"/>
  <c r="AE63"/>
  <c r="AE64"/>
  <c r="AA65"/>
  <c r="AB67"/>
  <c r="AA68"/>
  <c r="AE69"/>
  <c r="AE70"/>
  <c r="AA71"/>
  <c r="AA74"/>
  <c r="AA75"/>
  <c r="AC75"/>
  <c r="AA76"/>
  <c r="AC76"/>
  <c r="Z8"/>
  <c r="Z48"/>
  <c r="AB48" s="1"/>
  <c r="Z49"/>
  <c r="AC50"/>
  <c r="Z52"/>
  <c r="Z53" s="1"/>
  <c r="Z55"/>
  <c r="Z56" s="1"/>
  <c r="Z58"/>
  <c r="Z59" s="1"/>
  <c r="Z61"/>
  <c r="Z62" s="1"/>
  <c r="Z64"/>
  <c r="Z65" s="1"/>
  <c r="Z66"/>
  <c r="AB66" s="1"/>
  <c r="Z70"/>
  <c r="Z71" s="1"/>
  <c r="AB73" i="2"/>
  <c r="AB72"/>
  <c r="Z74"/>
  <c r="AB37"/>
  <c r="AB36"/>
  <c r="Z38"/>
  <c r="AB34"/>
  <c r="AB33"/>
  <c r="Z35"/>
  <c r="AB31"/>
  <c r="AB30"/>
  <c r="Z32"/>
  <c r="AB28"/>
  <c r="AB27"/>
  <c r="Z29"/>
  <c r="AB25"/>
  <c r="AB24"/>
  <c r="Z26"/>
  <c r="AB22"/>
  <c r="AB19"/>
  <c r="Z76"/>
  <c r="Z77" s="1"/>
  <c r="AB16"/>
  <c r="AB15"/>
  <c r="Z17"/>
  <c r="AB13"/>
  <c r="Z14"/>
  <c r="AB10"/>
  <c r="AB9"/>
  <c r="Z11"/>
  <c r="AB7"/>
  <c r="AB6"/>
  <c r="AD77"/>
  <c r="AE76"/>
  <c r="AE75"/>
  <c r="AA8"/>
  <c r="AA11"/>
  <c r="AA14"/>
  <c r="AA17"/>
  <c r="AA20"/>
  <c r="AA23"/>
  <c r="AA26"/>
  <c r="AA29"/>
  <c r="AA32"/>
  <c r="AA35"/>
  <c r="AA38"/>
  <c r="AA41"/>
  <c r="AA44"/>
  <c r="AA47"/>
  <c r="AB49"/>
  <c r="AA50"/>
  <c r="AD50"/>
  <c r="AA53"/>
  <c r="AA59"/>
  <c r="AB61"/>
  <c r="AA62"/>
  <c r="AD62"/>
  <c r="AB64"/>
  <c r="AA68"/>
  <c r="AA71"/>
  <c r="AA74"/>
  <c r="AA75"/>
  <c r="AB75" s="1"/>
  <c r="AA76"/>
  <c r="Z8"/>
  <c r="AE48"/>
  <c r="AC77"/>
  <c r="AD79" i="5"/>
  <c r="AC79"/>
  <c r="AD78"/>
  <c r="AC78"/>
  <c r="AD77"/>
  <c r="AC77"/>
  <c r="AE76"/>
  <c r="AA76"/>
  <c r="AB76" s="1"/>
  <c r="Z76"/>
  <c r="AE75"/>
  <c r="AA75"/>
  <c r="Z75"/>
  <c r="AD74"/>
  <c r="AC74"/>
  <c r="AE73"/>
  <c r="AA73"/>
  <c r="Z73"/>
  <c r="AE72"/>
  <c r="AA72"/>
  <c r="Z72"/>
  <c r="AD71"/>
  <c r="AC71"/>
  <c r="AE70"/>
  <c r="AA70"/>
  <c r="AB70" s="1"/>
  <c r="Z70"/>
  <c r="AE69"/>
  <c r="AA69"/>
  <c r="Z69"/>
  <c r="AD68"/>
  <c r="AC68"/>
  <c r="AE67"/>
  <c r="AA67"/>
  <c r="AB67" s="1"/>
  <c r="Z67"/>
  <c r="AE66"/>
  <c r="AA66"/>
  <c r="Z66"/>
  <c r="AD65"/>
  <c r="AC65"/>
  <c r="AE64"/>
  <c r="AA64"/>
  <c r="AB64" s="1"/>
  <c r="Z64"/>
  <c r="AE63"/>
  <c r="AA63"/>
  <c r="Z63"/>
  <c r="AD62"/>
  <c r="AC62"/>
  <c r="AE61"/>
  <c r="AA61"/>
  <c r="AB61" s="1"/>
  <c r="Z61"/>
  <c r="AE60"/>
  <c r="AA60"/>
  <c r="Z60"/>
  <c r="AD59"/>
  <c r="AC59"/>
  <c r="AE58"/>
  <c r="AA58"/>
  <c r="AB58" s="1"/>
  <c r="Z58"/>
  <c r="AE57"/>
  <c r="AA57"/>
  <c r="Z57"/>
  <c r="AD56"/>
  <c r="AC56"/>
  <c r="AE55"/>
  <c r="AA55"/>
  <c r="Z55"/>
  <c r="AE54"/>
  <c r="AA54"/>
  <c r="Z54"/>
  <c r="AD53"/>
  <c r="AC53"/>
  <c r="AE52"/>
  <c r="AA52"/>
  <c r="Z52"/>
  <c r="AE51"/>
  <c r="AA51"/>
  <c r="Z51"/>
  <c r="AD50"/>
  <c r="AC50"/>
  <c r="AE49"/>
  <c r="AA49"/>
  <c r="Z49"/>
  <c r="AE48"/>
  <c r="AA48"/>
  <c r="Z48"/>
  <c r="AD47"/>
  <c r="AC47"/>
  <c r="AE46"/>
  <c r="AA46"/>
  <c r="AB46" s="1"/>
  <c r="Z46"/>
  <c r="AE45"/>
  <c r="AA45"/>
  <c r="Z45"/>
  <c r="AD44"/>
  <c r="AC44"/>
  <c r="AE43"/>
  <c r="AA43"/>
  <c r="AB43" s="1"/>
  <c r="Z43"/>
  <c r="Z44" s="1"/>
  <c r="AE42"/>
  <c r="AA42"/>
  <c r="AB42" s="1"/>
  <c r="Z42"/>
  <c r="AD41"/>
  <c r="AC41"/>
  <c r="AE40"/>
  <c r="AA40"/>
  <c r="Z40"/>
  <c r="Z41" s="1"/>
  <c r="AE39"/>
  <c r="AA39"/>
  <c r="AB39" s="1"/>
  <c r="Z39"/>
  <c r="AD38"/>
  <c r="AC38"/>
  <c r="AE37"/>
  <c r="AA37"/>
  <c r="Z37"/>
  <c r="AE36"/>
  <c r="AA36"/>
  <c r="Z36"/>
  <c r="AD35"/>
  <c r="AC35"/>
  <c r="AE34"/>
  <c r="AA34"/>
  <c r="Z34"/>
  <c r="AE33"/>
  <c r="AA33"/>
  <c r="Z33"/>
  <c r="AD32"/>
  <c r="AC32"/>
  <c r="AE31"/>
  <c r="AA31"/>
  <c r="Z31"/>
  <c r="AE30"/>
  <c r="AA30"/>
  <c r="Z30"/>
  <c r="AD29"/>
  <c r="AC29"/>
  <c r="AE28"/>
  <c r="AA28"/>
  <c r="AB28" s="1"/>
  <c r="Z28"/>
  <c r="AE27"/>
  <c r="AA27"/>
  <c r="Z27"/>
  <c r="AD26"/>
  <c r="AC26"/>
  <c r="AE25"/>
  <c r="AA25"/>
  <c r="Z25"/>
  <c r="AE24"/>
  <c r="AA24"/>
  <c r="Z24"/>
  <c r="AD23"/>
  <c r="AC23"/>
  <c r="AE22"/>
  <c r="AA22"/>
  <c r="AB22" s="1"/>
  <c r="Z22"/>
  <c r="Z23" s="1"/>
  <c r="AE21"/>
  <c r="AA21"/>
  <c r="AB21" s="1"/>
  <c r="Z21"/>
  <c r="AD20"/>
  <c r="AC20"/>
  <c r="AE19"/>
  <c r="AA19"/>
  <c r="Z19"/>
  <c r="Z20" s="1"/>
  <c r="AE18"/>
  <c r="AA18"/>
  <c r="AB18" s="1"/>
  <c r="Z18"/>
  <c r="AD17"/>
  <c r="AC17"/>
  <c r="AE16"/>
  <c r="AA16"/>
  <c r="Z16"/>
  <c r="Z17" s="1"/>
  <c r="AE15"/>
  <c r="AA15"/>
  <c r="AB15" s="1"/>
  <c r="Z15"/>
  <c r="AD14"/>
  <c r="AC14"/>
  <c r="AE13"/>
  <c r="AA13"/>
  <c r="Z13"/>
  <c r="AE12"/>
  <c r="AA12"/>
  <c r="Z12"/>
  <c r="AD11"/>
  <c r="AC11"/>
  <c r="AE10"/>
  <c r="AA10"/>
  <c r="Z10"/>
  <c r="AE9"/>
  <c r="AA9"/>
  <c r="Z9"/>
  <c r="AD8"/>
  <c r="AC8"/>
  <c r="AE7"/>
  <c r="AA7"/>
  <c r="AB7" s="1"/>
  <c r="Z7"/>
  <c r="Z79" s="1"/>
  <c r="AE6"/>
  <c r="AA6"/>
  <c r="Z6"/>
  <c r="Z78" s="1"/>
  <c r="AD79" i="6"/>
  <c r="AC79"/>
  <c r="AD78"/>
  <c r="AC78"/>
  <c r="AD77"/>
  <c r="AC77"/>
  <c r="AE76"/>
  <c r="AA76"/>
  <c r="AB76" s="1"/>
  <c r="Z76"/>
  <c r="AE75"/>
  <c r="AA75"/>
  <c r="Z75"/>
  <c r="AD74"/>
  <c r="AC74"/>
  <c r="AE73"/>
  <c r="AA73"/>
  <c r="AB73" s="1"/>
  <c r="Z73"/>
  <c r="AE72"/>
  <c r="AA72"/>
  <c r="Z72"/>
  <c r="AD71"/>
  <c r="AC71"/>
  <c r="AE70"/>
  <c r="AA70"/>
  <c r="AB70" s="1"/>
  <c r="Z70"/>
  <c r="Z71" s="1"/>
  <c r="AE69"/>
  <c r="AA69"/>
  <c r="AB69" s="1"/>
  <c r="Z69"/>
  <c r="AD68"/>
  <c r="AC68"/>
  <c r="AE67"/>
  <c r="AA67"/>
  <c r="AB67" s="1"/>
  <c r="Z67"/>
  <c r="Z68" s="1"/>
  <c r="AE66"/>
  <c r="AA66"/>
  <c r="AB66" s="1"/>
  <c r="Z66"/>
  <c r="AD65"/>
  <c r="AC65"/>
  <c r="AE64"/>
  <c r="AA64"/>
  <c r="AB64" s="1"/>
  <c r="Z64"/>
  <c r="Z65" s="1"/>
  <c r="AE63"/>
  <c r="AA63"/>
  <c r="AB63" s="1"/>
  <c r="Z63"/>
  <c r="AD62"/>
  <c r="AC62"/>
  <c r="AE61"/>
  <c r="AA61"/>
  <c r="AB61" s="1"/>
  <c r="Z61"/>
  <c r="AE60"/>
  <c r="AA60"/>
  <c r="Z60"/>
  <c r="AD59"/>
  <c r="AC59"/>
  <c r="AE58"/>
  <c r="AA58"/>
  <c r="AB58" s="1"/>
  <c r="Z58"/>
  <c r="AE57"/>
  <c r="AA57"/>
  <c r="Z57"/>
  <c r="AD56"/>
  <c r="AC56"/>
  <c r="AE55"/>
  <c r="AA55"/>
  <c r="AB55" s="1"/>
  <c r="Z55"/>
  <c r="Z56" s="1"/>
  <c r="AE54"/>
  <c r="AA54"/>
  <c r="AB54" s="1"/>
  <c r="Z54"/>
  <c r="AD53"/>
  <c r="AC53"/>
  <c r="AE52"/>
  <c r="AA52"/>
  <c r="AB52" s="1"/>
  <c r="Z52"/>
  <c r="AE51"/>
  <c r="AA51"/>
  <c r="Z51"/>
  <c r="AD50"/>
  <c r="AC50"/>
  <c r="AE49"/>
  <c r="AA49"/>
  <c r="AB49" s="1"/>
  <c r="Z49"/>
  <c r="Z50" s="1"/>
  <c r="AE48"/>
  <c r="AA48"/>
  <c r="AB48" s="1"/>
  <c r="Z48"/>
  <c r="AD47"/>
  <c r="AC47"/>
  <c r="AE46"/>
  <c r="AA46"/>
  <c r="AB46" s="1"/>
  <c r="Z46"/>
  <c r="AE45"/>
  <c r="AA45"/>
  <c r="Z45"/>
  <c r="AD44"/>
  <c r="AC44"/>
  <c r="AE43"/>
  <c r="AA43"/>
  <c r="Z43"/>
  <c r="Z44" s="1"/>
  <c r="AE42"/>
  <c r="AA42"/>
  <c r="AB42" s="1"/>
  <c r="Z42"/>
  <c r="AD41"/>
  <c r="AC41"/>
  <c r="AE40"/>
  <c r="AA40"/>
  <c r="Z40"/>
  <c r="AE39"/>
  <c r="AA39"/>
  <c r="Z39"/>
  <c r="AD38"/>
  <c r="AC38"/>
  <c r="AE37"/>
  <c r="AA37"/>
  <c r="AB37" s="1"/>
  <c r="Z37"/>
  <c r="AE36"/>
  <c r="AA36"/>
  <c r="Z36"/>
  <c r="AD35"/>
  <c r="AC35"/>
  <c r="AE34"/>
  <c r="AA34"/>
  <c r="AB34" s="1"/>
  <c r="Z34"/>
  <c r="Z35" s="1"/>
  <c r="AE33"/>
  <c r="AA33"/>
  <c r="AB33" s="1"/>
  <c r="Z33"/>
  <c r="AD32"/>
  <c r="AC32"/>
  <c r="AE31"/>
  <c r="AA31"/>
  <c r="Z31"/>
  <c r="AE30"/>
  <c r="AA30"/>
  <c r="Z30"/>
  <c r="AD29"/>
  <c r="AC29"/>
  <c r="AE28"/>
  <c r="AA28"/>
  <c r="Z28"/>
  <c r="AE27"/>
  <c r="AA27"/>
  <c r="Z27"/>
  <c r="AD26"/>
  <c r="AC26"/>
  <c r="AE25"/>
  <c r="AA25"/>
  <c r="AB25" s="1"/>
  <c r="Z25"/>
  <c r="Z26" s="1"/>
  <c r="AE24"/>
  <c r="AA24"/>
  <c r="AB24" s="1"/>
  <c r="Z24"/>
  <c r="AD23"/>
  <c r="AC23"/>
  <c r="AE22"/>
  <c r="AA22"/>
  <c r="AB22" s="1"/>
  <c r="Z22"/>
  <c r="Z23" s="1"/>
  <c r="AE21"/>
  <c r="AA21"/>
  <c r="AB21" s="1"/>
  <c r="Z21"/>
  <c r="AD20"/>
  <c r="AC20"/>
  <c r="AE19"/>
  <c r="AA19"/>
  <c r="AB19" s="1"/>
  <c r="Z19"/>
  <c r="Z20" s="1"/>
  <c r="AE18"/>
  <c r="AA18"/>
  <c r="AB18" s="1"/>
  <c r="Z18"/>
  <c r="AD17"/>
  <c r="AC17"/>
  <c r="AE16"/>
  <c r="AA16"/>
  <c r="AB16" s="1"/>
  <c r="Z16"/>
  <c r="Z79" s="1"/>
  <c r="AE15"/>
  <c r="AA15"/>
  <c r="AB15" s="1"/>
  <c r="Z15"/>
  <c r="Z78" s="1"/>
  <c r="AD14"/>
  <c r="AC14"/>
  <c r="AE13"/>
  <c r="AA13"/>
  <c r="AB13" s="1"/>
  <c r="Z13"/>
  <c r="Z14" s="1"/>
  <c r="AE12"/>
  <c r="AA12"/>
  <c r="AB12" s="1"/>
  <c r="Z12"/>
  <c r="AD11"/>
  <c r="AC11"/>
  <c r="AE10"/>
  <c r="AA10"/>
  <c r="Z10"/>
  <c r="Z11" s="1"/>
  <c r="AE9"/>
  <c r="AA9"/>
  <c r="AB9" s="1"/>
  <c r="Z9"/>
  <c r="AD8"/>
  <c r="AC8"/>
  <c r="AE7"/>
  <c r="AA7"/>
  <c r="Z7"/>
  <c r="AE6"/>
  <c r="AA6"/>
  <c r="Z6"/>
  <c r="AD46" i="3"/>
  <c r="AC46"/>
  <c r="AD45"/>
  <c r="AC45"/>
  <c r="AD44"/>
  <c r="AC44"/>
  <c r="AE43"/>
  <c r="AA43"/>
  <c r="AB43" s="1"/>
  <c r="Z43"/>
  <c r="Z44" s="1"/>
  <c r="AE42"/>
  <c r="AA42"/>
  <c r="AB42" s="1"/>
  <c r="Z42"/>
  <c r="AD41"/>
  <c r="AC41"/>
  <c r="AE40"/>
  <c r="AA40"/>
  <c r="Z40"/>
  <c r="AE39"/>
  <c r="AA39"/>
  <c r="Z39"/>
  <c r="AD38"/>
  <c r="AC38"/>
  <c r="AE37"/>
  <c r="AA37"/>
  <c r="Z37"/>
  <c r="AE36"/>
  <c r="AA36"/>
  <c r="Z36"/>
  <c r="AD35"/>
  <c r="AC35"/>
  <c r="AE34"/>
  <c r="AA34"/>
  <c r="Z34"/>
  <c r="AE33"/>
  <c r="AA33"/>
  <c r="Z33"/>
  <c r="AD32"/>
  <c r="AC32"/>
  <c r="AE31"/>
  <c r="AA31"/>
  <c r="AB31" s="1"/>
  <c r="Z31"/>
  <c r="Z32" s="1"/>
  <c r="AE30"/>
  <c r="AA30"/>
  <c r="AB30" s="1"/>
  <c r="Z30"/>
  <c r="AD29"/>
  <c r="AC29"/>
  <c r="AE28"/>
  <c r="AA28"/>
  <c r="Z28"/>
  <c r="Z29" s="1"/>
  <c r="AE27"/>
  <c r="AA27"/>
  <c r="AB27" s="1"/>
  <c r="Z27"/>
  <c r="AD26"/>
  <c r="AC26"/>
  <c r="AE25"/>
  <c r="AA25"/>
  <c r="AB25" s="1"/>
  <c r="Z25"/>
  <c r="Z26" s="1"/>
  <c r="AE24"/>
  <c r="AA24"/>
  <c r="AB24" s="1"/>
  <c r="Z24"/>
  <c r="AD23"/>
  <c r="AC23"/>
  <c r="AE22"/>
  <c r="AA22"/>
  <c r="Z22"/>
  <c r="AE21"/>
  <c r="AA21"/>
  <c r="Z21"/>
  <c r="AD20"/>
  <c r="AC20"/>
  <c r="AE19"/>
  <c r="AA19"/>
  <c r="Z19"/>
  <c r="AE18"/>
  <c r="AA18"/>
  <c r="AB18" s="1"/>
  <c r="Z18"/>
  <c r="AD17"/>
  <c r="AC17"/>
  <c r="AE16"/>
  <c r="AA16"/>
  <c r="Z16"/>
  <c r="AE15"/>
  <c r="AA15"/>
  <c r="Z15"/>
  <c r="AD14"/>
  <c r="AC14"/>
  <c r="AE13"/>
  <c r="AA13"/>
  <c r="AB13" s="1"/>
  <c r="Z13"/>
  <c r="Z14" s="1"/>
  <c r="AE12"/>
  <c r="AA12"/>
  <c r="AB12" s="1"/>
  <c r="Z12"/>
  <c r="AD11"/>
  <c r="AC11"/>
  <c r="AE10"/>
  <c r="AA10"/>
  <c r="Z10"/>
  <c r="Z11" s="1"/>
  <c r="AE9"/>
  <c r="AA9"/>
  <c r="AB9" s="1"/>
  <c r="Z9"/>
  <c r="AD8"/>
  <c r="AC8"/>
  <c r="AE7"/>
  <c r="AA7"/>
  <c r="Z7"/>
  <c r="Z46" s="1"/>
  <c r="AE6"/>
  <c r="AA6"/>
  <c r="AB6" s="1"/>
  <c r="Z6"/>
  <c r="Z45" s="1"/>
  <c r="BF76" i="2" l="1"/>
  <c r="BE77"/>
  <c r="AX75" i="1"/>
  <c r="AZ75" s="1"/>
  <c r="AZ64" i="2"/>
  <c r="BC75"/>
  <c r="AY65" i="1"/>
  <c r="AZ64"/>
  <c r="AY59"/>
  <c r="AZ58"/>
  <c r="AY53"/>
  <c r="AZ52"/>
  <c r="BA77"/>
  <c r="AZ67"/>
  <c r="AZ57"/>
  <c r="AX76"/>
  <c r="BC75"/>
  <c r="AZ70"/>
  <c r="AZ63"/>
  <c r="AX53"/>
  <c r="AZ49"/>
  <c r="BC76"/>
  <c r="AY76"/>
  <c r="AZ55"/>
  <c r="AZ61"/>
  <c r="AZ51"/>
  <c r="BA77" i="2"/>
  <c r="AZ55"/>
  <c r="AY56"/>
  <c r="AZ75"/>
  <c r="AX76"/>
  <c r="AX77" s="1"/>
  <c r="AZ54"/>
  <c r="BC76"/>
  <c r="AY76"/>
  <c r="AZ61"/>
  <c r="AZ49"/>
  <c r="AX56"/>
  <c r="AZ79" i="5"/>
  <c r="AY80"/>
  <c r="AZ79" i="6"/>
  <c r="AY80"/>
  <c r="AZ46" i="3"/>
  <c r="AY47"/>
  <c r="AZ46" i="4"/>
  <c r="AY47"/>
  <c r="AS76" i="1"/>
  <c r="AR75"/>
  <c r="AT75" s="1"/>
  <c r="AR65" i="2"/>
  <c r="AR50"/>
  <c r="AS77" i="1"/>
  <c r="AU77"/>
  <c r="AR59"/>
  <c r="AT55"/>
  <c r="AW75"/>
  <c r="AR65"/>
  <c r="AT61"/>
  <c r="AT51"/>
  <c r="AR76"/>
  <c r="AR77" s="1"/>
  <c r="AW76"/>
  <c r="AS65"/>
  <c r="AT64"/>
  <c r="AS59"/>
  <c r="AT58"/>
  <c r="AS53"/>
  <c r="AT52"/>
  <c r="AT70"/>
  <c r="AT48"/>
  <c r="AT49"/>
  <c r="AS77" i="2"/>
  <c r="AT70"/>
  <c r="AR75"/>
  <c r="AT75" s="1"/>
  <c r="AU77"/>
  <c r="AT64"/>
  <c r="AT61"/>
  <c r="AR56"/>
  <c r="AT49"/>
  <c r="AR76"/>
  <c r="AW76"/>
  <c r="AW75"/>
  <c r="AT79" i="5"/>
  <c r="AS80"/>
  <c r="AT79" i="6"/>
  <c r="AS80"/>
  <c r="AT46" i="4"/>
  <c r="AS47"/>
  <c r="AT46" i="3"/>
  <c r="AS47"/>
  <c r="AP77" i="1"/>
  <c r="AL75"/>
  <c r="AN70" i="2"/>
  <c r="AM68" i="1"/>
  <c r="AN67"/>
  <c r="AM65"/>
  <c r="AN64"/>
  <c r="AM59"/>
  <c r="AN58"/>
  <c r="AM53"/>
  <c r="AN52"/>
  <c r="AO77"/>
  <c r="AN70"/>
  <c r="AN63"/>
  <c r="AL53"/>
  <c r="AN49"/>
  <c r="AQ76"/>
  <c r="AN57"/>
  <c r="AL76"/>
  <c r="AL77" s="1"/>
  <c r="AM76"/>
  <c r="AM75"/>
  <c r="AN75" s="1"/>
  <c r="AN61"/>
  <c r="AN51"/>
  <c r="AN55"/>
  <c r="AQ75"/>
  <c r="AQ75" i="2"/>
  <c r="AO77"/>
  <c r="AN60"/>
  <c r="AL75"/>
  <c r="AN75" s="1"/>
  <c r="AQ76"/>
  <c r="AM62"/>
  <c r="AN61"/>
  <c r="AM76"/>
  <c r="AN55"/>
  <c r="AL76"/>
  <c r="AL77" s="1"/>
  <c r="AN79" i="6"/>
  <c r="AM80"/>
  <c r="AN46" i="3"/>
  <c r="AM47"/>
  <c r="AN46" i="4"/>
  <c r="AM47"/>
  <c r="AF76" i="1"/>
  <c r="AH76" s="1"/>
  <c r="AF75" i="2"/>
  <c r="AH75" s="1"/>
  <c r="AI77" i="1"/>
  <c r="AH67"/>
  <c r="AH55"/>
  <c r="AH70"/>
  <c r="AH64"/>
  <c r="AH58"/>
  <c r="AH52"/>
  <c r="AF75"/>
  <c r="AF77" s="1"/>
  <c r="AG77"/>
  <c r="AF50"/>
  <c r="AH61"/>
  <c r="AH49"/>
  <c r="AK76"/>
  <c r="AK75"/>
  <c r="AG77" i="2"/>
  <c r="AH64"/>
  <c r="AH48"/>
  <c r="AH69"/>
  <c r="AI77"/>
  <c r="AH61"/>
  <c r="AK75"/>
  <c r="AF76"/>
  <c r="AF77" s="1"/>
  <c r="AH79" i="5"/>
  <c r="AG80"/>
  <c r="AH79" i="6"/>
  <c r="AG80"/>
  <c r="AH46" i="3"/>
  <c r="AG47"/>
  <c r="AH46" i="4"/>
  <c r="AG47"/>
  <c r="AA56" i="2"/>
  <c r="AD80" i="5"/>
  <c r="AD80" i="6"/>
  <c r="AD47" i="3"/>
  <c r="Z50" i="1"/>
  <c r="AC77"/>
  <c r="AB55"/>
  <c r="AB49"/>
  <c r="AE76"/>
  <c r="Z68"/>
  <c r="AB64"/>
  <c r="AB52"/>
  <c r="Z75"/>
  <c r="AB75" s="1"/>
  <c r="AA77"/>
  <c r="AB61"/>
  <c r="Z76"/>
  <c r="AB70"/>
  <c r="AB58"/>
  <c r="AE75"/>
  <c r="AB76" i="2"/>
  <c r="AA77"/>
  <c r="AB75" i="6"/>
  <c r="Z77"/>
  <c r="AB75" i="5"/>
  <c r="Z77"/>
  <c r="AB73"/>
  <c r="AB72"/>
  <c r="Z74"/>
  <c r="AB72" i="6"/>
  <c r="Z74"/>
  <c r="AB69" i="5"/>
  <c r="Z71"/>
  <c r="AB66"/>
  <c r="Z68"/>
  <c r="AB63"/>
  <c r="Z65"/>
  <c r="AB60"/>
  <c r="Z62"/>
  <c r="AB60" i="6"/>
  <c r="Z62"/>
  <c r="AB57"/>
  <c r="Z59"/>
  <c r="AB57" i="5"/>
  <c r="Z59"/>
  <c r="AB55"/>
  <c r="AB54"/>
  <c r="Z56"/>
  <c r="AB51" i="6"/>
  <c r="Z53"/>
  <c r="AB52" i="5"/>
  <c r="AB51"/>
  <c r="Z53"/>
  <c r="AB49"/>
  <c r="AB48"/>
  <c r="Z50"/>
  <c r="AB45" i="6"/>
  <c r="Z47"/>
  <c r="AB45" i="5"/>
  <c r="Z47"/>
  <c r="AB43" i="6"/>
  <c r="AB40"/>
  <c r="AB39"/>
  <c r="Z41"/>
  <c r="AB40" i="5"/>
  <c r="AB37"/>
  <c r="AB36"/>
  <c r="Z38"/>
  <c r="AB36" i="6"/>
  <c r="Z38"/>
  <c r="AB34" i="5"/>
  <c r="AB33"/>
  <c r="Z35"/>
  <c r="AB31"/>
  <c r="AB30"/>
  <c r="Z32"/>
  <c r="AB31" i="6"/>
  <c r="AB30"/>
  <c r="Z32"/>
  <c r="AB28"/>
  <c r="Z80"/>
  <c r="AB27"/>
  <c r="Z29"/>
  <c r="AB27" i="5"/>
  <c r="Z29"/>
  <c r="AB25"/>
  <c r="AB24"/>
  <c r="Z26"/>
  <c r="AB19"/>
  <c r="AB16"/>
  <c r="AB13"/>
  <c r="AB12"/>
  <c r="Z14"/>
  <c r="AB10"/>
  <c r="AB9"/>
  <c r="Z11"/>
  <c r="AB6"/>
  <c r="Z80"/>
  <c r="AE78"/>
  <c r="AC80"/>
  <c r="AB10" i="6"/>
  <c r="AB7"/>
  <c r="AB6"/>
  <c r="Z8"/>
  <c r="AE78"/>
  <c r="AC80"/>
  <c r="AA8" i="5"/>
  <c r="AA11"/>
  <c r="AA14"/>
  <c r="AA17"/>
  <c r="AA20"/>
  <c r="AA23"/>
  <c r="AA26"/>
  <c r="AA29"/>
  <c r="AA32"/>
  <c r="AA35"/>
  <c r="AA38"/>
  <c r="AA41"/>
  <c r="AA44"/>
  <c r="AA47"/>
  <c r="AA50"/>
  <c r="AA53"/>
  <c r="AA56"/>
  <c r="AA59"/>
  <c r="AA62"/>
  <c r="AA65"/>
  <c r="AA68"/>
  <c r="AA71"/>
  <c r="AA74"/>
  <c r="AA77"/>
  <c r="AA78"/>
  <c r="AB78" s="1"/>
  <c r="AA79"/>
  <c r="AE79"/>
  <c r="Z8"/>
  <c r="AA8" i="6"/>
  <c r="AA11"/>
  <c r="AA14"/>
  <c r="AA17"/>
  <c r="AA20"/>
  <c r="AA23"/>
  <c r="AA26"/>
  <c r="AA29"/>
  <c r="AA32"/>
  <c r="AA35"/>
  <c r="AA38"/>
  <c r="AA41"/>
  <c r="AA44"/>
  <c r="AA47"/>
  <c r="AA50"/>
  <c r="AA53"/>
  <c r="AA56"/>
  <c r="AA59"/>
  <c r="AA62"/>
  <c r="AA65"/>
  <c r="AA68"/>
  <c r="AA71"/>
  <c r="AA74"/>
  <c r="AA77"/>
  <c r="AA78"/>
  <c r="AB78" s="1"/>
  <c r="AA79"/>
  <c r="AE79"/>
  <c r="Z17"/>
  <c r="AB40" i="3"/>
  <c r="AB39"/>
  <c r="Z41"/>
  <c r="AB37"/>
  <c r="AB36"/>
  <c r="Z38"/>
  <c r="AB34"/>
  <c r="AB33"/>
  <c r="Z35"/>
  <c r="AB28"/>
  <c r="AB22"/>
  <c r="AB21"/>
  <c r="Z23"/>
  <c r="AB19"/>
  <c r="Z20"/>
  <c r="AB16"/>
  <c r="Z47"/>
  <c r="AB15"/>
  <c r="Z17"/>
  <c r="AE45"/>
  <c r="AB10"/>
  <c r="AB7"/>
  <c r="AC47"/>
  <c r="AA14"/>
  <c r="AA17"/>
  <c r="AA20"/>
  <c r="AA23"/>
  <c r="AA26"/>
  <c r="AA29"/>
  <c r="AA32"/>
  <c r="AA35"/>
  <c r="AA38"/>
  <c r="AA41"/>
  <c r="AA44"/>
  <c r="AA45"/>
  <c r="AB45" s="1"/>
  <c r="AA46"/>
  <c r="AE46"/>
  <c r="AA8"/>
  <c r="AA11"/>
  <c r="Z8"/>
  <c r="AD46" i="4"/>
  <c r="AC46"/>
  <c r="AD45"/>
  <c r="AC45"/>
  <c r="AD44"/>
  <c r="AC44"/>
  <c r="AE43"/>
  <c r="AA43"/>
  <c r="AB43" s="1"/>
  <c r="Z43"/>
  <c r="Z44" s="1"/>
  <c r="AE42"/>
  <c r="AA42"/>
  <c r="AB42" s="1"/>
  <c r="Z42"/>
  <c r="AD41"/>
  <c r="AC41"/>
  <c r="AE40"/>
  <c r="AA40"/>
  <c r="Z40"/>
  <c r="AE39"/>
  <c r="AA39"/>
  <c r="Z39"/>
  <c r="AD38"/>
  <c r="AC38"/>
  <c r="AE37"/>
  <c r="AA37"/>
  <c r="Z37"/>
  <c r="Z38" s="1"/>
  <c r="AE36"/>
  <c r="AA36"/>
  <c r="AB36" s="1"/>
  <c r="Z36"/>
  <c r="AD35"/>
  <c r="AC35"/>
  <c r="AE34"/>
  <c r="AA34"/>
  <c r="AB34" s="1"/>
  <c r="Z34"/>
  <c r="Z35" s="1"/>
  <c r="AE33"/>
  <c r="AA33"/>
  <c r="AB33" s="1"/>
  <c r="Z33"/>
  <c r="AD32"/>
  <c r="AC32"/>
  <c r="AE31"/>
  <c r="AA31"/>
  <c r="Z31"/>
  <c r="AE30"/>
  <c r="AA30"/>
  <c r="Z30"/>
  <c r="AD29"/>
  <c r="AC29"/>
  <c r="AE28"/>
  <c r="AA28"/>
  <c r="AB28" s="1"/>
  <c r="Z28"/>
  <c r="Z29" s="1"/>
  <c r="AE27"/>
  <c r="AA27"/>
  <c r="AB27" s="1"/>
  <c r="Z27"/>
  <c r="AC26"/>
  <c r="AE25"/>
  <c r="AA25"/>
  <c r="Z25"/>
  <c r="Z26" s="1"/>
  <c r="AE24"/>
  <c r="AA24"/>
  <c r="AB24" s="1"/>
  <c r="Z24"/>
  <c r="AC23"/>
  <c r="AE22"/>
  <c r="AA22"/>
  <c r="AB22" s="1"/>
  <c r="Z22"/>
  <c r="AE21"/>
  <c r="AA21"/>
  <c r="Z21"/>
  <c r="AC20"/>
  <c r="AE19"/>
  <c r="AA19"/>
  <c r="AB19" s="1"/>
  <c r="Z19"/>
  <c r="Z20" s="1"/>
  <c r="AE18"/>
  <c r="AA18"/>
  <c r="AB18" s="1"/>
  <c r="Z18"/>
  <c r="AC17"/>
  <c r="AE16"/>
  <c r="AA16"/>
  <c r="Z16"/>
  <c r="AE15"/>
  <c r="AA15"/>
  <c r="Z15"/>
  <c r="AD14"/>
  <c r="AC14"/>
  <c r="AE13"/>
  <c r="AA13"/>
  <c r="AB13" s="1"/>
  <c r="Z13"/>
  <c r="Z14" s="1"/>
  <c r="AE12"/>
  <c r="AA12"/>
  <c r="AB12" s="1"/>
  <c r="Z12"/>
  <c r="AD11"/>
  <c r="AC11"/>
  <c r="AE10"/>
  <c r="AA10"/>
  <c r="Z10"/>
  <c r="AE9"/>
  <c r="AA9"/>
  <c r="Z9"/>
  <c r="AD8"/>
  <c r="AC8"/>
  <c r="AE7"/>
  <c r="AA7"/>
  <c r="Z7"/>
  <c r="Z46" s="1"/>
  <c r="AE6"/>
  <c r="AA6"/>
  <c r="Z6"/>
  <c r="Z45" s="1"/>
  <c r="X60" i="2"/>
  <c r="X64"/>
  <c r="X63"/>
  <c r="X61"/>
  <c r="X49"/>
  <c r="X48"/>
  <c r="X70" i="1"/>
  <c r="X69"/>
  <c r="X64"/>
  <c r="X63"/>
  <c r="X61"/>
  <c r="X60"/>
  <c r="X58"/>
  <c r="X59" s="1"/>
  <c r="X55"/>
  <c r="X54"/>
  <c r="X52"/>
  <c r="X51"/>
  <c r="U51" s="1"/>
  <c r="X49"/>
  <c r="X48"/>
  <c r="W70"/>
  <c r="W69"/>
  <c r="W67"/>
  <c r="W66"/>
  <c r="Y66" s="1"/>
  <c r="W64"/>
  <c r="W63"/>
  <c r="W61"/>
  <c r="W60"/>
  <c r="W58"/>
  <c r="W55"/>
  <c r="W54"/>
  <c r="W52"/>
  <c r="W51"/>
  <c r="W49"/>
  <c r="W48"/>
  <c r="X74"/>
  <c r="W74"/>
  <c r="Y73"/>
  <c r="U73"/>
  <c r="T73"/>
  <c r="Y72"/>
  <c r="U72"/>
  <c r="V72" s="1"/>
  <c r="T72"/>
  <c r="U70"/>
  <c r="T69"/>
  <c r="U69"/>
  <c r="X68"/>
  <c r="Y67"/>
  <c r="W68"/>
  <c r="U67"/>
  <c r="T67"/>
  <c r="T68" s="1"/>
  <c r="U66"/>
  <c r="U68" s="1"/>
  <c r="T66"/>
  <c r="W65"/>
  <c r="X65"/>
  <c r="T64"/>
  <c r="Y63"/>
  <c r="T63"/>
  <c r="W62"/>
  <c r="X62"/>
  <c r="T61"/>
  <c r="Y60"/>
  <c r="T60"/>
  <c r="W59"/>
  <c r="T58"/>
  <c r="Y57"/>
  <c r="U57"/>
  <c r="T57"/>
  <c r="V57" s="1"/>
  <c r="X56"/>
  <c r="T55"/>
  <c r="Y54"/>
  <c r="W56"/>
  <c r="T54"/>
  <c r="W53"/>
  <c r="X53"/>
  <c r="T52"/>
  <c r="Y51"/>
  <c r="T51"/>
  <c r="X76"/>
  <c r="U49"/>
  <c r="U48"/>
  <c r="X47"/>
  <c r="W47"/>
  <c r="Y46"/>
  <c r="U46"/>
  <c r="V46" s="1"/>
  <c r="T46"/>
  <c r="T47" s="1"/>
  <c r="Y45"/>
  <c r="U45"/>
  <c r="V45" s="1"/>
  <c r="T45"/>
  <c r="X44"/>
  <c r="W44"/>
  <c r="Y43"/>
  <c r="U43"/>
  <c r="V43" s="1"/>
  <c r="T43"/>
  <c r="T44" s="1"/>
  <c r="Y42"/>
  <c r="U42"/>
  <c r="V42" s="1"/>
  <c r="T42"/>
  <c r="X41"/>
  <c r="W41"/>
  <c r="Y40"/>
  <c r="U40"/>
  <c r="T40"/>
  <c r="T41" s="1"/>
  <c r="Y39"/>
  <c r="U39"/>
  <c r="V39" s="1"/>
  <c r="T39"/>
  <c r="X38"/>
  <c r="W38"/>
  <c r="Y37"/>
  <c r="U37"/>
  <c r="T37"/>
  <c r="T38" s="1"/>
  <c r="Y36"/>
  <c r="U36"/>
  <c r="V36" s="1"/>
  <c r="T36"/>
  <c r="X35"/>
  <c r="W35"/>
  <c r="Y34"/>
  <c r="U34"/>
  <c r="T34"/>
  <c r="Y33"/>
  <c r="U33"/>
  <c r="T33"/>
  <c r="X32"/>
  <c r="W32"/>
  <c r="Y31"/>
  <c r="U31"/>
  <c r="T31"/>
  <c r="Y30"/>
  <c r="U30"/>
  <c r="T30"/>
  <c r="X29"/>
  <c r="W29"/>
  <c r="Y28"/>
  <c r="U28"/>
  <c r="T28"/>
  <c r="Y27"/>
  <c r="U27"/>
  <c r="T27"/>
  <c r="X26"/>
  <c r="W26"/>
  <c r="Y25"/>
  <c r="U25"/>
  <c r="T25"/>
  <c r="Y24"/>
  <c r="U24"/>
  <c r="T24"/>
  <c r="X23"/>
  <c r="W23"/>
  <c r="Y22"/>
  <c r="U22"/>
  <c r="V22" s="1"/>
  <c r="T22"/>
  <c r="Y21"/>
  <c r="U21"/>
  <c r="T21"/>
  <c r="X20"/>
  <c r="W20"/>
  <c r="Y19"/>
  <c r="U19"/>
  <c r="T19"/>
  <c r="Y18"/>
  <c r="U18"/>
  <c r="T18"/>
  <c r="X17"/>
  <c r="W17"/>
  <c r="Y16"/>
  <c r="U16"/>
  <c r="T16"/>
  <c r="Y15"/>
  <c r="U15"/>
  <c r="T15"/>
  <c r="X14"/>
  <c r="W14"/>
  <c r="Y13"/>
  <c r="U13"/>
  <c r="T13"/>
  <c r="Y12"/>
  <c r="U12"/>
  <c r="T12"/>
  <c r="X11"/>
  <c r="W11"/>
  <c r="Y10"/>
  <c r="U10"/>
  <c r="T10"/>
  <c r="Y9"/>
  <c r="U9"/>
  <c r="T9"/>
  <c r="X8"/>
  <c r="W8"/>
  <c r="Y7"/>
  <c r="U7"/>
  <c r="T7"/>
  <c r="Y6"/>
  <c r="U6"/>
  <c r="T6"/>
  <c r="W76" i="2"/>
  <c r="X75"/>
  <c r="W75"/>
  <c r="X74"/>
  <c r="W74"/>
  <c r="Y73"/>
  <c r="U73"/>
  <c r="T73"/>
  <c r="Y72"/>
  <c r="U72"/>
  <c r="T72"/>
  <c r="X71"/>
  <c r="W71"/>
  <c r="Y70"/>
  <c r="U70"/>
  <c r="V70" s="1"/>
  <c r="T70"/>
  <c r="Y69"/>
  <c r="U69"/>
  <c r="T69"/>
  <c r="X68"/>
  <c r="W68"/>
  <c r="Y67"/>
  <c r="U67"/>
  <c r="V67" s="1"/>
  <c r="T67"/>
  <c r="T68" s="1"/>
  <c r="Y66"/>
  <c r="U66"/>
  <c r="V66" s="1"/>
  <c r="T66"/>
  <c r="X65"/>
  <c r="W65"/>
  <c r="Y64"/>
  <c r="U64"/>
  <c r="V64" s="1"/>
  <c r="T64"/>
  <c r="Y63"/>
  <c r="U63"/>
  <c r="T63"/>
  <c r="X62"/>
  <c r="W62"/>
  <c r="Y61"/>
  <c r="U61"/>
  <c r="T61"/>
  <c r="T62" s="1"/>
  <c r="Y60"/>
  <c r="U60"/>
  <c r="U62" s="1"/>
  <c r="T60"/>
  <c r="X59"/>
  <c r="W59"/>
  <c r="Y58"/>
  <c r="U58"/>
  <c r="T58"/>
  <c r="Y57"/>
  <c r="U57"/>
  <c r="T57"/>
  <c r="X56"/>
  <c r="W56"/>
  <c r="Y55"/>
  <c r="U55"/>
  <c r="T55"/>
  <c r="Y54"/>
  <c r="U54"/>
  <c r="V54" s="1"/>
  <c r="T54"/>
  <c r="X53"/>
  <c r="W53"/>
  <c r="Y52"/>
  <c r="U52"/>
  <c r="U53" s="1"/>
  <c r="T52"/>
  <c r="T53" s="1"/>
  <c r="Y51"/>
  <c r="U51"/>
  <c r="V51" s="1"/>
  <c r="T51"/>
  <c r="W50"/>
  <c r="Y49"/>
  <c r="X76"/>
  <c r="U49"/>
  <c r="T49"/>
  <c r="V49" s="1"/>
  <c r="Y48"/>
  <c r="U48"/>
  <c r="T48"/>
  <c r="V48" s="1"/>
  <c r="X47"/>
  <c r="W47"/>
  <c r="Y46"/>
  <c r="U46"/>
  <c r="V46" s="1"/>
  <c r="T46"/>
  <c r="T47" s="1"/>
  <c r="Y45"/>
  <c r="U45"/>
  <c r="V45" s="1"/>
  <c r="T45"/>
  <c r="X44"/>
  <c r="W44"/>
  <c r="Y43"/>
  <c r="U43"/>
  <c r="T43"/>
  <c r="Y42"/>
  <c r="U42"/>
  <c r="T42"/>
  <c r="X41"/>
  <c r="W41"/>
  <c r="Y40"/>
  <c r="U40"/>
  <c r="V40" s="1"/>
  <c r="T40"/>
  <c r="T41" s="1"/>
  <c r="Y39"/>
  <c r="U39"/>
  <c r="V39" s="1"/>
  <c r="T39"/>
  <c r="X38"/>
  <c r="W38"/>
  <c r="Y37"/>
  <c r="U37"/>
  <c r="T37"/>
  <c r="T38" s="1"/>
  <c r="Y36"/>
  <c r="U36"/>
  <c r="V36" s="1"/>
  <c r="T36"/>
  <c r="X35"/>
  <c r="W35"/>
  <c r="Y34"/>
  <c r="U34"/>
  <c r="V34" s="1"/>
  <c r="T34"/>
  <c r="T35" s="1"/>
  <c r="Y33"/>
  <c r="U33"/>
  <c r="V33" s="1"/>
  <c r="T33"/>
  <c r="X32"/>
  <c r="W32"/>
  <c r="Y31"/>
  <c r="U31"/>
  <c r="T31"/>
  <c r="T32" s="1"/>
  <c r="Y30"/>
  <c r="U30"/>
  <c r="V30" s="1"/>
  <c r="T30"/>
  <c r="X29"/>
  <c r="W29"/>
  <c r="Y28"/>
  <c r="U28"/>
  <c r="V28" s="1"/>
  <c r="T28"/>
  <c r="T29" s="1"/>
  <c r="Y27"/>
  <c r="U27"/>
  <c r="V27" s="1"/>
  <c r="T27"/>
  <c r="X26"/>
  <c r="W26"/>
  <c r="Y25"/>
  <c r="U25"/>
  <c r="T25"/>
  <c r="Y24"/>
  <c r="U24"/>
  <c r="V24" s="1"/>
  <c r="T24"/>
  <c r="X23"/>
  <c r="W23"/>
  <c r="Y22"/>
  <c r="U22"/>
  <c r="T22"/>
  <c r="T23" s="1"/>
  <c r="Y21"/>
  <c r="U21"/>
  <c r="V21" s="1"/>
  <c r="T21"/>
  <c r="X20"/>
  <c r="W20"/>
  <c r="Y19"/>
  <c r="U19"/>
  <c r="T19"/>
  <c r="Y18"/>
  <c r="U18"/>
  <c r="V18" s="1"/>
  <c r="T18"/>
  <c r="X17"/>
  <c r="W17"/>
  <c r="Y16"/>
  <c r="U16"/>
  <c r="T16"/>
  <c r="Y15"/>
  <c r="U15"/>
  <c r="V15" s="1"/>
  <c r="T15"/>
  <c r="X14"/>
  <c r="W14"/>
  <c r="Y13"/>
  <c r="U13"/>
  <c r="T13"/>
  <c r="Y12"/>
  <c r="U12"/>
  <c r="T12"/>
  <c r="X11"/>
  <c r="W11"/>
  <c r="Y10"/>
  <c r="U10"/>
  <c r="T10"/>
  <c r="T11" s="1"/>
  <c r="Y9"/>
  <c r="U9"/>
  <c r="V9" s="1"/>
  <c r="T9"/>
  <c r="X8"/>
  <c r="W8"/>
  <c r="Y7"/>
  <c r="U7"/>
  <c r="T7"/>
  <c r="Y6"/>
  <c r="U6"/>
  <c r="V6" s="1"/>
  <c r="T6"/>
  <c r="T75" s="1"/>
  <c r="X79" i="5"/>
  <c r="W79"/>
  <c r="X78"/>
  <c r="W78"/>
  <c r="X77"/>
  <c r="W77"/>
  <c r="Y76"/>
  <c r="U76"/>
  <c r="T76"/>
  <c r="T77" s="1"/>
  <c r="Y75"/>
  <c r="U75"/>
  <c r="V75" s="1"/>
  <c r="T75"/>
  <c r="X74"/>
  <c r="W74"/>
  <c r="Y73"/>
  <c r="U73"/>
  <c r="V73" s="1"/>
  <c r="T73"/>
  <c r="T74" s="1"/>
  <c r="Y72"/>
  <c r="U72"/>
  <c r="V72" s="1"/>
  <c r="T72"/>
  <c r="X71"/>
  <c r="W71"/>
  <c r="Y70"/>
  <c r="U70"/>
  <c r="V70" s="1"/>
  <c r="T70"/>
  <c r="Y69"/>
  <c r="U69"/>
  <c r="T69"/>
  <c r="X68"/>
  <c r="W68"/>
  <c r="Y67"/>
  <c r="U67"/>
  <c r="V67" s="1"/>
  <c r="T67"/>
  <c r="Y66"/>
  <c r="U66"/>
  <c r="T66"/>
  <c r="X65"/>
  <c r="W65"/>
  <c r="Y64"/>
  <c r="U64"/>
  <c r="V64" s="1"/>
  <c r="T64"/>
  <c r="Y63"/>
  <c r="U63"/>
  <c r="T63"/>
  <c r="X62"/>
  <c r="W62"/>
  <c r="Y61"/>
  <c r="U61"/>
  <c r="V61" s="1"/>
  <c r="T61"/>
  <c r="Y60"/>
  <c r="U60"/>
  <c r="T60"/>
  <c r="X59"/>
  <c r="W59"/>
  <c r="Y58"/>
  <c r="U58"/>
  <c r="V58" s="1"/>
  <c r="T58"/>
  <c r="Y57"/>
  <c r="U57"/>
  <c r="T57"/>
  <c r="X56"/>
  <c r="W56"/>
  <c r="Y55"/>
  <c r="U55"/>
  <c r="T55"/>
  <c r="Y54"/>
  <c r="U54"/>
  <c r="T54"/>
  <c r="X53"/>
  <c r="W53"/>
  <c r="Y52"/>
  <c r="U52"/>
  <c r="T52"/>
  <c r="T53" s="1"/>
  <c r="Y51"/>
  <c r="U51"/>
  <c r="V51" s="1"/>
  <c r="T51"/>
  <c r="X50"/>
  <c r="W50"/>
  <c r="Y49"/>
  <c r="U49"/>
  <c r="V49" s="1"/>
  <c r="T49"/>
  <c r="Y48"/>
  <c r="U48"/>
  <c r="T48"/>
  <c r="X47"/>
  <c r="W47"/>
  <c r="Y46"/>
  <c r="U46"/>
  <c r="T46"/>
  <c r="Y45"/>
  <c r="U45"/>
  <c r="T45"/>
  <c r="X44"/>
  <c r="W44"/>
  <c r="Y43"/>
  <c r="U43"/>
  <c r="T43"/>
  <c r="Y42"/>
  <c r="U42"/>
  <c r="T42"/>
  <c r="X41"/>
  <c r="W41"/>
  <c r="Y40"/>
  <c r="U40"/>
  <c r="V40" s="1"/>
  <c r="T40"/>
  <c r="Y39"/>
  <c r="U39"/>
  <c r="T39"/>
  <c r="X38"/>
  <c r="W38"/>
  <c r="Y37"/>
  <c r="U37"/>
  <c r="V37" s="1"/>
  <c r="T37"/>
  <c r="T38" s="1"/>
  <c r="Y36"/>
  <c r="U36"/>
  <c r="V36" s="1"/>
  <c r="T36"/>
  <c r="X35"/>
  <c r="W35"/>
  <c r="Y34"/>
  <c r="U34"/>
  <c r="V34" s="1"/>
  <c r="T34"/>
  <c r="Y33"/>
  <c r="U33"/>
  <c r="T33"/>
  <c r="X32"/>
  <c r="W32"/>
  <c r="Y31"/>
  <c r="U31"/>
  <c r="V31" s="1"/>
  <c r="T31"/>
  <c r="Y30"/>
  <c r="U30"/>
  <c r="T30"/>
  <c r="X29"/>
  <c r="W29"/>
  <c r="Y28"/>
  <c r="U28"/>
  <c r="V28" s="1"/>
  <c r="T28"/>
  <c r="Y27"/>
  <c r="U27"/>
  <c r="T27"/>
  <c r="X26"/>
  <c r="W26"/>
  <c r="Y25"/>
  <c r="U25"/>
  <c r="V25" s="1"/>
  <c r="T25"/>
  <c r="Y24"/>
  <c r="U24"/>
  <c r="T24"/>
  <c r="X23"/>
  <c r="W23"/>
  <c r="Y22"/>
  <c r="U22"/>
  <c r="V22" s="1"/>
  <c r="T22"/>
  <c r="T23" s="1"/>
  <c r="Y21"/>
  <c r="U21"/>
  <c r="V21" s="1"/>
  <c r="T21"/>
  <c r="X20"/>
  <c r="W20"/>
  <c r="Y19"/>
  <c r="U19"/>
  <c r="T19"/>
  <c r="Y18"/>
  <c r="U18"/>
  <c r="T18"/>
  <c r="X17"/>
  <c r="W17"/>
  <c r="Y16"/>
  <c r="U16"/>
  <c r="V16" s="1"/>
  <c r="T16"/>
  <c r="T17" s="1"/>
  <c r="Y15"/>
  <c r="U15"/>
  <c r="V15" s="1"/>
  <c r="T15"/>
  <c r="X14"/>
  <c r="W14"/>
  <c r="Y13"/>
  <c r="U13"/>
  <c r="T13"/>
  <c r="Y12"/>
  <c r="U12"/>
  <c r="T12"/>
  <c r="X11"/>
  <c r="W11"/>
  <c r="Y10"/>
  <c r="U10"/>
  <c r="T10"/>
  <c r="Y9"/>
  <c r="U9"/>
  <c r="T9"/>
  <c r="X8"/>
  <c r="W8"/>
  <c r="Y7"/>
  <c r="U7"/>
  <c r="V7" s="1"/>
  <c r="T7"/>
  <c r="T79" s="1"/>
  <c r="Y6"/>
  <c r="U6"/>
  <c r="T6"/>
  <c r="T78" s="1"/>
  <c r="X79" i="6"/>
  <c r="W79"/>
  <c r="X78"/>
  <c r="W78"/>
  <c r="X77"/>
  <c r="W77"/>
  <c r="Y76"/>
  <c r="U76"/>
  <c r="V76" s="1"/>
  <c r="T76"/>
  <c r="Y75"/>
  <c r="U75"/>
  <c r="T75"/>
  <c r="X74"/>
  <c r="W74"/>
  <c r="Y73"/>
  <c r="U73"/>
  <c r="T73"/>
  <c r="Y72"/>
  <c r="U72"/>
  <c r="T72"/>
  <c r="X71"/>
  <c r="W71"/>
  <c r="Y70"/>
  <c r="U70"/>
  <c r="V70" s="1"/>
  <c r="T70"/>
  <c r="T71" s="1"/>
  <c r="Y69"/>
  <c r="U69"/>
  <c r="V69" s="1"/>
  <c r="T69"/>
  <c r="X68"/>
  <c r="W68"/>
  <c r="Y67"/>
  <c r="U67"/>
  <c r="V67" s="1"/>
  <c r="T67"/>
  <c r="Y66"/>
  <c r="U66"/>
  <c r="T66"/>
  <c r="X65"/>
  <c r="W65"/>
  <c r="Y64"/>
  <c r="U64"/>
  <c r="V64" s="1"/>
  <c r="T64"/>
  <c r="T65" s="1"/>
  <c r="Y63"/>
  <c r="U63"/>
  <c r="V63" s="1"/>
  <c r="T63"/>
  <c r="X62"/>
  <c r="W62"/>
  <c r="Y61"/>
  <c r="U61"/>
  <c r="V61" s="1"/>
  <c r="T61"/>
  <c r="Y60"/>
  <c r="U60"/>
  <c r="T60"/>
  <c r="X59"/>
  <c r="W59"/>
  <c r="Y58"/>
  <c r="U58"/>
  <c r="V58" s="1"/>
  <c r="T58"/>
  <c r="Y57"/>
  <c r="U57"/>
  <c r="T57"/>
  <c r="X56"/>
  <c r="W56"/>
  <c r="Y55"/>
  <c r="U55"/>
  <c r="V55" s="1"/>
  <c r="T55"/>
  <c r="T56" s="1"/>
  <c r="Y54"/>
  <c r="U54"/>
  <c r="V54" s="1"/>
  <c r="T54"/>
  <c r="X53"/>
  <c r="W53"/>
  <c r="Y52"/>
  <c r="U52"/>
  <c r="V52" s="1"/>
  <c r="T52"/>
  <c r="Y51"/>
  <c r="U51"/>
  <c r="T51"/>
  <c r="X50"/>
  <c r="W50"/>
  <c r="Y49"/>
  <c r="U49"/>
  <c r="V49" s="1"/>
  <c r="T49"/>
  <c r="T50" s="1"/>
  <c r="Y48"/>
  <c r="U48"/>
  <c r="V48" s="1"/>
  <c r="T48"/>
  <c r="X47"/>
  <c r="W47"/>
  <c r="Y46"/>
  <c r="U46"/>
  <c r="V46" s="1"/>
  <c r="T46"/>
  <c r="Y45"/>
  <c r="U45"/>
  <c r="T45"/>
  <c r="X44"/>
  <c r="W44"/>
  <c r="Y43"/>
  <c r="U43"/>
  <c r="V43" s="1"/>
  <c r="T43"/>
  <c r="Y42"/>
  <c r="U42"/>
  <c r="T42"/>
  <c r="X41"/>
  <c r="W41"/>
  <c r="Y40"/>
  <c r="U40"/>
  <c r="V40" s="1"/>
  <c r="T40"/>
  <c r="Y39"/>
  <c r="U39"/>
  <c r="T39"/>
  <c r="X38"/>
  <c r="W38"/>
  <c r="Y37"/>
  <c r="U37"/>
  <c r="V37" s="1"/>
  <c r="T37"/>
  <c r="Y36"/>
  <c r="U36"/>
  <c r="T36"/>
  <c r="X35"/>
  <c r="W35"/>
  <c r="Y34"/>
  <c r="U34"/>
  <c r="V34" s="1"/>
  <c r="T34"/>
  <c r="Y33"/>
  <c r="U33"/>
  <c r="T33"/>
  <c r="X32"/>
  <c r="W32"/>
  <c r="Y31"/>
  <c r="U31"/>
  <c r="V31" s="1"/>
  <c r="T31"/>
  <c r="Y30"/>
  <c r="U30"/>
  <c r="T30"/>
  <c r="X29"/>
  <c r="W29"/>
  <c r="Y28"/>
  <c r="U28"/>
  <c r="V28" s="1"/>
  <c r="T28"/>
  <c r="Y27"/>
  <c r="U27"/>
  <c r="T27"/>
  <c r="X26"/>
  <c r="W26"/>
  <c r="Y25"/>
  <c r="U25"/>
  <c r="V25" s="1"/>
  <c r="T25"/>
  <c r="Y24"/>
  <c r="U24"/>
  <c r="T24"/>
  <c r="X23"/>
  <c r="W23"/>
  <c r="Y22"/>
  <c r="U22"/>
  <c r="V22" s="1"/>
  <c r="T22"/>
  <c r="T23" s="1"/>
  <c r="Y21"/>
  <c r="U21"/>
  <c r="V21" s="1"/>
  <c r="T21"/>
  <c r="X20"/>
  <c r="W20"/>
  <c r="Y19"/>
  <c r="U19"/>
  <c r="V19" s="1"/>
  <c r="T19"/>
  <c r="T20" s="1"/>
  <c r="Y18"/>
  <c r="U18"/>
  <c r="V18" s="1"/>
  <c r="T18"/>
  <c r="X17"/>
  <c r="W17"/>
  <c r="Y16"/>
  <c r="U16"/>
  <c r="V16" s="1"/>
  <c r="T16"/>
  <c r="T79" s="1"/>
  <c r="Y15"/>
  <c r="U15"/>
  <c r="V15" s="1"/>
  <c r="T15"/>
  <c r="T78" s="1"/>
  <c r="X14"/>
  <c r="W14"/>
  <c r="Y13"/>
  <c r="U13"/>
  <c r="V13" s="1"/>
  <c r="T13"/>
  <c r="T14" s="1"/>
  <c r="Y12"/>
  <c r="U12"/>
  <c r="V12" s="1"/>
  <c r="T12"/>
  <c r="X11"/>
  <c r="W11"/>
  <c r="Y10"/>
  <c r="U10"/>
  <c r="T10"/>
  <c r="Y9"/>
  <c r="U9"/>
  <c r="T9"/>
  <c r="X8"/>
  <c r="W8"/>
  <c r="Y7"/>
  <c r="U7"/>
  <c r="T7"/>
  <c r="Y6"/>
  <c r="U6"/>
  <c r="T6"/>
  <c r="X46" i="3"/>
  <c r="W46"/>
  <c r="X45"/>
  <c r="W45"/>
  <c r="X44"/>
  <c r="W44"/>
  <c r="Y43"/>
  <c r="U43"/>
  <c r="T43"/>
  <c r="Y42"/>
  <c r="U42"/>
  <c r="T42"/>
  <c r="X41"/>
  <c r="W41"/>
  <c r="Y40"/>
  <c r="U40"/>
  <c r="T40"/>
  <c r="Y39"/>
  <c r="U39"/>
  <c r="T39"/>
  <c r="X38"/>
  <c r="W38"/>
  <c r="Y37"/>
  <c r="U37"/>
  <c r="V37" s="1"/>
  <c r="T37"/>
  <c r="Y36"/>
  <c r="U36"/>
  <c r="T36"/>
  <c r="X35"/>
  <c r="W35"/>
  <c r="Y34"/>
  <c r="U34"/>
  <c r="V34" s="1"/>
  <c r="T34"/>
  <c r="T35" s="1"/>
  <c r="Y33"/>
  <c r="U33"/>
  <c r="V33" s="1"/>
  <c r="T33"/>
  <c r="X32"/>
  <c r="W32"/>
  <c r="Y31"/>
  <c r="U31"/>
  <c r="V31" s="1"/>
  <c r="T31"/>
  <c r="T32" s="1"/>
  <c r="Y30"/>
  <c r="U30"/>
  <c r="V30" s="1"/>
  <c r="T30"/>
  <c r="X29"/>
  <c r="W29"/>
  <c r="Y28"/>
  <c r="U28"/>
  <c r="T28"/>
  <c r="T29" s="1"/>
  <c r="Y27"/>
  <c r="U27"/>
  <c r="V27" s="1"/>
  <c r="T27"/>
  <c r="X26"/>
  <c r="W26"/>
  <c r="Y25"/>
  <c r="U25"/>
  <c r="V25" s="1"/>
  <c r="T25"/>
  <c r="T26" s="1"/>
  <c r="Y24"/>
  <c r="U24"/>
  <c r="V24" s="1"/>
  <c r="T24"/>
  <c r="X23"/>
  <c r="W23"/>
  <c r="Y22"/>
  <c r="U22"/>
  <c r="T22"/>
  <c r="Y21"/>
  <c r="U21"/>
  <c r="T21"/>
  <c r="X20"/>
  <c r="W20"/>
  <c r="Y19"/>
  <c r="U19"/>
  <c r="V19" s="1"/>
  <c r="T19"/>
  <c r="Y18"/>
  <c r="U18"/>
  <c r="T18"/>
  <c r="X17"/>
  <c r="W17"/>
  <c r="Y16"/>
  <c r="U16"/>
  <c r="V16" s="1"/>
  <c r="T16"/>
  <c r="Y15"/>
  <c r="U15"/>
  <c r="T15"/>
  <c r="X14"/>
  <c r="W14"/>
  <c r="Y13"/>
  <c r="U13"/>
  <c r="T13"/>
  <c r="Y12"/>
  <c r="U12"/>
  <c r="T12"/>
  <c r="X11"/>
  <c r="W11"/>
  <c r="Y10"/>
  <c r="U10"/>
  <c r="T10"/>
  <c r="Y9"/>
  <c r="U9"/>
  <c r="T9"/>
  <c r="X8"/>
  <c r="W8"/>
  <c r="Y7"/>
  <c r="U7"/>
  <c r="T7"/>
  <c r="T46" s="1"/>
  <c r="Y6"/>
  <c r="U6"/>
  <c r="T6"/>
  <c r="T45" s="1"/>
  <c r="X46" i="4"/>
  <c r="W46"/>
  <c r="X45"/>
  <c r="W45"/>
  <c r="W47" s="1"/>
  <c r="X44"/>
  <c r="W44"/>
  <c r="Y43"/>
  <c r="U43"/>
  <c r="V43" s="1"/>
  <c r="T43"/>
  <c r="T44" s="1"/>
  <c r="Y42"/>
  <c r="U42"/>
  <c r="V42" s="1"/>
  <c r="T42"/>
  <c r="X41"/>
  <c r="W41"/>
  <c r="Y40"/>
  <c r="U40"/>
  <c r="V40" s="1"/>
  <c r="T40"/>
  <c r="Y39"/>
  <c r="U39"/>
  <c r="T39"/>
  <c r="X38"/>
  <c r="W38"/>
  <c r="Y37"/>
  <c r="U37"/>
  <c r="V37" s="1"/>
  <c r="T37"/>
  <c r="Y36"/>
  <c r="U36"/>
  <c r="T36"/>
  <c r="X35"/>
  <c r="W35"/>
  <c r="Y34"/>
  <c r="U34"/>
  <c r="V34" s="1"/>
  <c r="T34"/>
  <c r="T35" s="1"/>
  <c r="Y33"/>
  <c r="U33"/>
  <c r="V33" s="1"/>
  <c r="T33"/>
  <c r="X32"/>
  <c r="W32"/>
  <c r="Y31"/>
  <c r="U31"/>
  <c r="V31" s="1"/>
  <c r="T31"/>
  <c r="T32" s="1"/>
  <c r="Y30"/>
  <c r="U30"/>
  <c r="V30" s="1"/>
  <c r="T30"/>
  <c r="X29"/>
  <c r="W29"/>
  <c r="Y28"/>
  <c r="U28"/>
  <c r="V28" s="1"/>
  <c r="T28"/>
  <c r="T29" s="1"/>
  <c r="Y27"/>
  <c r="U27"/>
  <c r="V27" s="1"/>
  <c r="T27"/>
  <c r="X26"/>
  <c r="W26"/>
  <c r="Y25"/>
  <c r="U25"/>
  <c r="T25"/>
  <c r="Y24"/>
  <c r="U24"/>
  <c r="T24"/>
  <c r="X23"/>
  <c r="W23"/>
  <c r="Y22"/>
  <c r="U22"/>
  <c r="T22"/>
  <c r="T23" s="1"/>
  <c r="Y21"/>
  <c r="U21"/>
  <c r="V21" s="1"/>
  <c r="T21"/>
  <c r="X20"/>
  <c r="W20"/>
  <c r="Y19"/>
  <c r="U19"/>
  <c r="V19" s="1"/>
  <c r="T19"/>
  <c r="T20" s="1"/>
  <c r="Y18"/>
  <c r="U18"/>
  <c r="V18" s="1"/>
  <c r="T18"/>
  <c r="X17"/>
  <c r="W17"/>
  <c r="Y16"/>
  <c r="U16"/>
  <c r="V16" s="1"/>
  <c r="T16"/>
  <c r="Y15"/>
  <c r="U15"/>
  <c r="T15"/>
  <c r="X14"/>
  <c r="W14"/>
  <c r="Y13"/>
  <c r="U13"/>
  <c r="V13" s="1"/>
  <c r="T13"/>
  <c r="T14" s="1"/>
  <c r="Y12"/>
  <c r="U12"/>
  <c r="V12" s="1"/>
  <c r="T12"/>
  <c r="X11"/>
  <c r="W11"/>
  <c r="Y10"/>
  <c r="U10"/>
  <c r="V10" s="1"/>
  <c r="T10"/>
  <c r="T11" s="1"/>
  <c r="Y9"/>
  <c r="U9"/>
  <c r="V9" s="1"/>
  <c r="T9"/>
  <c r="X8"/>
  <c r="W8"/>
  <c r="Y7"/>
  <c r="U7"/>
  <c r="V7" s="1"/>
  <c r="T7"/>
  <c r="T46" s="1"/>
  <c r="Y6"/>
  <c r="U6"/>
  <c r="T6"/>
  <c r="T45" s="1"/>
  <c r="R61" i="2"/>
  <c r="R49"/>
  <c r="R70" i="1"/>
  <c r="R69"/>
  <c r="R64"/>
  <c r="R63"/>
  <c r="R61"/>
  <c r="R60"/>
  <c r="R58"/>
  <c r="R55"/>
  <c r="R54"/>
  <c r="R52"/>
  <c r="R51"/>
  <c r="R49"/>
  <c r="R48"/>
  <c r="Q70"/>
  <c r="Q69"/>
  <c r="Q67"/>
  <c r="Q64"/>
  <c r="Q63"/>
  <c r="Q61"/>
  <c r="Q60"/>
  <c r="Q58"/>
  <c r="Q55"/>
  <c r="Q54"/>
  <c r="Q52"/>
  <c r="Q49"/>
  <c r="Q48"/>
  <c r="AX77" l="1"/>
  <c r="AZ76"/>
  <c r="AY77"/>
  <c r="AZ76" i="2"/>
  <c r="AY77"/>
  <c r="AR77"/>
  <c r="AT76" i="1"/>
  <c r="AT76" i="2"/>
  <c r="AN76" i="1"/>
  <c r="AM77"/>
  <c r="AN76" i="2"/>
  <c r="AM77"/>
  <c r="AH75" i="1"/>
  <c r="AH76" i="2"/>
  <c r="AD47" i="4"/>
  <c r="Z77" i="1"/>
  <c r="AB76"/>
  <c r="AB79" i="5"/>
  <c r="AA80"/>
  <c r="AB79" i="6"/>
  <c r="AA80"/>
  <c r="AB46" i="3"/>
  <c r="AA47"/>
  <c r="AB40" i="4"/>
  <c r="AB39"/>
  <c r="Z41"/>
  <c r="AB37"/>
  <c r="AB31"/>
  <c r="AB30"/>
  <c r="Z32"/>
  <c r="AB25"/>
  <c r="AB21"/>
  <c r="Z23"/>
  <c r="AB16"/>
  <c r="AB15"/>
  <c r="Z17"/>
  <c r="AB10"/>
  <c r="AB9"/>
  <c r="Z11"/>
  <c r="AB7"/>
  <c r="AB6"/>
  <c r="Z47"/>
  <c r="AE45"/>
  <c r="AC47"/>
  <c r="AA8"/>
  <c r="AA11"/>
  <c r="AA14"/>
  <c r="AA17"/>
  <c r="AA20"/>
  <c r="AA23"/>
  <c r="AA26"/>
  <c r="AA29"/>
  <c r="AA32"/>
  <c r="AA35"/>
  <c r="AA38"/>
  <c r="AA41"/>
  <c r="AA44"/>
  <c r="AA45"/>
  <c r="AB45" s="1"/>
  <c r="AA46"/>
  <c r="AE46"/>
  <c r="Z8"/>
  <c r="V60" i="2"/>
  <c r="V57"/>
  <c r="U59"/>
  <c r="U56"/>
  <c r="U50"/>
  <c r="X71" i="1"/>
  <c r="V66"/>
  <c r="X75"/>
  <c r="X77" s="1"/>
  <c r="X80" i="5"/>
  <c r="Y78"/>
  <c r="X80" i="6"/>
  <c r="X47" i="3"/>
  <c r="X47" i="4"/>
  <c r="W71" i="1"/>
  <c r="T65"/>
  <c r="T62"/>
  <c r="T59"/>
  <c r="T56"/>
  <c r="V51"/>
  <c r="T53"/>
  <c r="V69" i="2"/>
  <c r="T71"/>
  <c r="V63"/>
  <c r="T65"/>
  <c r="T59"/>
  <c r="T56"/>
  <c r="V43"/>
  <c r="V42"/>
  <c r="T44"/>
  <c r="V40" i="1"/>
  <c r="V73"/>
  <c r="T74"/>
  <c r="V37"/>
  <c r="V34"/>
  <c r="V33"/>
  <c r="T35"/>
  <c r="V31"/>
  <c r="V30"/>
  <c r="T32"/>
  <c r="V28"/>
  <c r="V27"/>
  <c r="T29"/>
  <c r="V25"/>
  <c r="V24"/>
  <c r="T26"/>
  <c r="V21"/>
  <c r="T23"/>
  <c r="V19"/>
  <c r="V18"/>
  <c r="T20"/>
  <c r="V16"/>
  <c r="V15"/>
  <c r="T17"/>
  <c r="V13"/>
  <c r="V12"/>
  <c r="T14"/>
  <c r="V10"/>
  <c r="V9"/>
  <c r="T11"/>
  <c r="V7"/>
  <c r="V6"/>
  <c r="T76" i="2"/>
  <c r="V73"/>
  <c r="V72"/>
  <c r="T74"/>
  <c r="V37"/>
  <c r="V31"/>
  <c r="V25"/>
  <c r="T26"/>
  <c r="V22"/>
  <c r="V19"/>
  <c r="T20"/>
  <c r="V16"/>
  <c r="T17"/>
  <c r="V13"/>
  <c r="V12"/>
  <c r="T14"/>
  <c r="V10"/>
  <c r="V7"/>
  <c r="T77"/>
  <c r="V69" i="1"/>
  <c r="U8"/>
  <c r="U11"/>
  <c r="U14"/>
  <c r="U17"/>
  <c r="U20"/>
  <c r="U23"/>
  <c r="U26"/>
  <c r="U29"/>
  <c r="U32"/>
  <c r="U35"/>
  <c r="U38"/>
  <c r="U41"/>
  <c r="U44"/>
  <c r="U47"/>
  <c r="Y48"/>
  <c r="Y49"/>
  <c r="U50"/>
  <c r="X50"/>
  <c r="V67"/>
  <c r="Y69"/>
  <c r="Y70"/>
  <c r="U71"/>
  <c r="U74"/>
  <c r="W75"/>
  <c r="W76"/>
  <c r="Y76" s="1"/>
  <c r="T8"/>
  <c r="T48"/>
  <c r="V48" s="1"/>
  <c r="T49"/>
  <c r="W50"/>
  <c r="U52"/>
  <c r="Y52"/>
  <c r="U54"/>
  <c r="V54" s="1"/>
  <c r="U55"/>
  <c r="Y55"/>
  <c r="U58"/>
  <c r="Y58"/>
  <c r="U60"/>
  <c r="V60" s="1"/>
  <c r="U61"/>
  <c r="Y61"/>
  <c r="U63"/>
  <c r="V63" s="1"/>
  <c r="U64"/>
  <c r="Y64"/>
  <c r="T70"/>
  <c r="T71" s="1"/>
  <c r="X77" i="2"/>
  <c r="Y76"/>
  <c r="U8"/>
  <c r="U11"/>
  <c r="U14"/>
  <c r="U17"/>
  <c r="U20"/>
  <c r="U23"/>
  <c r="U26"/>
  <c r="U29"/>
  <c r="U32"/>
  <c r="U35"/>
  <c r="U38"/>
  <c r="U41"/>
  <c r="U44"/>
  <c r="U47"/>
  <c r="T50"/>
  <c r="V52"/>
  <c r="V55"/>
  <c r="V58"/>
  <c r="V61"/>
  <c r="U65"/>
  <c r="U68"/>
  <c r="U71"/>
  <c r="U74"/>
  <c r="U75"/>
  <c r="V75" s="1"/>
  <c r="Y75"/>
  <c r="U76"/>
  <c r="T8"/>
  <c r="X50"/>
  <c r="W77"/>
  <c r="V75" i="6"/>
  <c r="T77"/>
  <c r="V76" i="5"/>
  <c r="V73" i="6"/>
  <c r="V72"/>
  <c r="T74"/>
  <c r="V69" i="5"/>
  <c r="T71"/>
  <c r="V66" i="6"/>
  <c r="T68"/>
  <c r="V66" i="5"/>
  <c r="T68"/>
  <c r="V63"/>
  <c r="T65"/>
  <c r="V60" i="6"/>
  <c r="T62"/>
  <c r="V60" i="5"/>
  <c r="T62"/>
  <c r="V57"/>
  <c r="T59"/>
  <c r="V57" i="6"/>
  <c r="T59"/>
  <c r="V55" i="5"/>
  <c r="V54"/>
  <c r="T56"/>
  <c r="V52"/>
  <c r="V51" i="6"/>
  <c r="T53"/>
  <c r="V48" i="5"/>
  <c r="T50"/>
  <c r="V46"/>
  <c r="V45"/>
  <c r="T47"/>
  <c r="V45" i="6"/>
  <c r="T47"/>
  <c r="V42"/>
  <c r="T44"/>
  <c r="V43" i="5"/>
  <c r="V42"/>
  <c r="T44"/>
  <c r="V39"/>
  <c r="T41"/>
  <c r="V39" i="6"/>
  <c r="T41"/>
  <c r="V36"/>
  <c r="T38"/>
  <c r="V33" i="5"/>
  <c r="T35"/>
  <c r="V33" i="6"/>
  <c r="T35"/>
  <c r="V30"/>
  <c r="T32"/>
  <c r="V30" i="5"/>
  <c r="T32"/>
  <c r="V27"/>
  <c r="T29"/>
  <c r="V27" i="6"/>
  <c r="T29"/>
  <c r="V24" i="5"/>
  <c r="T26"/>
  <c r="V19"/>
  <c r="V18"/>
  <c r="T20"/>
  <c r="V13"/>
  <c r="V12"/>
  <c r="T14"/>
  <c r="V10"/>
  <c r="V9"/>
  <c r="T11"/>
  <c r="W80"/>
  <c r="V6"/>
  <c r="T80"/>
  <c r="U8"/>
  <c r="U11"/>
  <c r="U14"/>
  <c r="U17"/>
  <c r="U20"/>
  <c r="U23"/>
  <c r="U26"/>
  <c r="U29"/>
  <c r="U32"/>
  <c r="U35"/>
  <c r="U38"/>
  <c r="U41"/>
  <c r="U44"/>
  <c r="U47"/>
  <c r="U50"/>
  <c r="U53"/>
  <c r="U56"/>
  <c r="U59"/>
  <c r="U62"/>
  <c r="U65"/>
  <c r="U68"/>
  <c r="U71"/>
  <c r="U74"/>
  <c r="U77"/>
  <c r="U78"/>
  <c r="V78" s="1"/>
  <c r="U79"/>
  <c r="Y79"/>
  <c r="T8"/>
  <c r="T80" i="6"/>
  <c r="V24"/>
  <c r="T26"/>
  <c r="V10"/>
  <c r="V9"/>
  <c r="T11"/>
  <c r="V7"/>
  <c r="V6"/>
  <c r="T8"/>
  <c r="Y78"/>
  <c r="W80"/>
  <c r="U8"/>
  <c r="U11"/>
  <c r="U14"/>
  <c r="U17"/>
  <c r="U20"/>
  <c r="U23"/>
  <c r="U26"/>
  <c r="U29"/>
  <c r="U32"/>
  <c r="U35"/>
  <c r="U38"/>
  <c r="U41"/>
  <c r="U44"/>
  <c r="U47"/>
  <c r="U50"/>
  <c r="U53"/>
  <c r="U56"/>
  <c r="U59"/>
  <c r="U62"/>
  <c r="U65"/>
  <c r="U68"/>
  <c r="U71"/>
  <c r="U74"/>
  <c r="U77"/>
  <c r="U78"/>
  <c r="V78" s="1"/>
  <c r="U79"/>
  <c r="Y79"/>
  <c r="T17"/>
  <c r="V43" i="3"/>
  <c r="V42"/>
  <c r="T44"/>
  <c r="V40"/>
  <c r="V39"/>
  <c r="T41"/>
  <c r="V36"/>
  <c r="T38"/>
  <c r="V28"/>
  <c r="V22"/>
  <c r="V21"/>
  <c r="T23"/>
  <c r="V18"/>
  <c r="T20"/>
  <c r="V15"/>
  <c r="T17"/>
  <c r="V13"/>
  <c r="V12"/>
  <c r="T14"/>
  <c r="V10"/>
  <c r="V9"/>
  <c r="T11"/>
  <c r="V7"/>
  <c r="V6"/>
  <c r="T47"/>
  <c r="Y45"/>
  <c r="W47"/>
  <c r="U8"/>
  <c r="U11"/>
  <c r="U14"/>
  <c r="U17"/>
  <c r="U20"/>
  <c r="U23"/>
  <c r="U26"/>
  <c r="U29"/>
  <c r="U32"/>
  <c r="U35"/>
  <c r="U38"/>
  <c r="U41"/>
  <c r="U44"/>
  <c r="U45"/>
  <c r="V45" s="1"/>
  <c r="U46"/>
  <c r="Y46"/>
  <c r="T8"/>
  <c r="V39" i="4"/>
  <c r="T41"/>
  <c r="V36"/>
  <c r="T38"/>
  <c r="V25"/>
  <c r="V24"/>
  <c r="T26"/>
  <c r="V22"/>
  <c r="V15"/>
  <c r="T17"/>
  <c r="V6"/>
  <c r="T47"/>
  <c r="Y45"/>
  <c r="U8"/>
  <c r="U11"/>
  <c r="U17"/>
  <c r="U20"/>
  <c r="U29"/>
  <c r="U35"/>
  <c r="U41"/>
  <c r="U44"/>
  <c r="U45"/>
  <c r="V45" s="1"/>
  <c r="U46"/>
  <c r="Y46"/>
  <c r="U14"/>
  <c r="U23"/>
  <c r="U26"/>
  <c r="U32"/>
  <c r="U38"/>
  <c r="T8"/>
  <c r="L70" i="1"/>
  <c r="L69"/>
  <c r="L64"/>
  <c r="L63"/>
  <c r="L61"/>
  <c r="L60"/>
  <c r="L55"/>
  <c r="L54"/>
  <c r="L52"/>
  <c r="L51"/>
  <c r="L49"/>
  <c r="L48"/>
  <c r="L49" i="2"/>
  <c r="AB46" i="4" l="1"/>
  <c r="AA47"/>
  <c r="U62" i="1"/>
  <c r="V61"/>
  <c r="U53"/>
  <c r="V52"/>
  <c r="T50"/>
  <c r="U76"/>
  <c r="U75"/>
  <c r="T75"/>
  <c r="V49"/>
  <c r="U65"/>
  <c r="V64"/>
  <c r="U59"/>
  <c r="V58"/>
  <c r="U56"/>
  <c r="V55"/>
  <c r="W77"/>
  <c r="Y75"/>
  <c r="V70"/>
  <c r="T76"/>
  <c r="T77" s="1"/>
  <c r="V76" i="2"/>
  <c r="U77"/>
  <c r="V79" i="5"/>
  <c r="U80"/>
  <c r="V79" i="6"/>
  <c r="U80"/>
  <c r="V46" i="3"/>
  <c r="U47"/>
  <c r="V46" i="4"/>
  <c r="U47"/>
  <c r="K70" i="1"/>
  <c r="K69"/>
  <c r="K67"/>
  <c r="K66"/>
  <c r="K64"/>
  <c r="K63"/>
  <c r="K61"/>
  <c r="K60"/>
  <c r="K58"/>
  <c r="K55"/>
  <c r="K54"/>
  <c r="K52"/>
  <c r="K51"/>
  <c r="K49"/>
  <c r="K48"/>
  <c r="K70" i="2"/>
  <c r="K61"/>
  <c r="J49" i="1"/>
  <c r="V75" l="1"/>
  <c r="V76"/>
  <c r="U77"/>
  <c r="J74"/>
  <c r="J70"/>
  <c r="J69"/>
  <c r="J67"/>
  <c r="J66"/>
  <c r="J68" s="1"/>
  <c r="J64"/>
  <c r="J63"/>
  <c r="J61"/>
  <c r="J60"/>
  <c r="J58"/>
  <c r="J57"/>
  <c r="J55"/>
  <c r="J54"/>
  <c r="J56" s="1"/>
  <c r="J52"/>
  <c r="J51"/>
  <c r="J76"/>
  <c r="J48"/>
  <c r="J50" s="1"/>
  <c r="J47"/>
  <c r="J44"/>
  <c r="J41"/>
  <c r="J38"/>
  <c r="J35"/>
  <c r="J32"/>
  <c r="J29"/>
  <c r="J26"/>
  <c r="J23"/>
  <c r="J20"/>
  <c r="J17"/>
  <c r="J14"/>
  <c r="J11"/>
  <c r="J8"/>
  <c r="J75" i="2"/>
  <c r="J74"/>
  <c r="J71"/>
  <c r="J70"/>
  <c r="J68"/>
  <c r="J64"/>
  <c r="J65" s="1"/>
  <c r="J61"/>
  <c r="J62" s="1"/>
  <c r="J59"/>
  <c r="J56"/>
  <c r="J55"/>
  <c r="J53"/>
  <c r="J49"/>
  <c r="J47"/>
  <c r="J44"/>
  <c r="J41"/>
  <c r="J38"/>
  <c r="J35"/>
  <c r="J32"/>
  <c r="J29"/>
  <c r="J26"/>
  <c r="J23"/>
  <c r="J20"/>
  <c r="J17"/>
  <c r="J14"/>
  <c r="J11"/>
  <c r="J8"/>
  <c r="J53" i="1" l="1"/>
  <c r="J59"/>
  <c r="J62"/>
  <c r="J65"/>
  <c r="J71"/>
  <c r="J75"/>
  <c r="J77" s="1"/>
  <c r="J76" i="2"/>
  <c r="J77" s="1"/>
  <c r="J50"/>
  <c r="J77" i="5"/>
  <c r="J74"/>
  <c r="J71"/>
  <c r="J68"/>
  <c r="J65"/>
  <c r="J62"/>
  <c r="J59"/>
  <c r="J56"/>
  <c r="J53"/>
  <c r="J50"/>
  <c r="J47"/>
  <c r="J44"/>
  <c r="J41"/>
  <c r="J38"/>
  <c r="J35"/>
  <c r="J32"/>
  <c r="J29"/>
  <c r="J26"/>
  <c r="J23"/>
  <c r="J20"/>
  <c r="J17"/>
  <c r="J14"/>
  <c r="J11"/>
  <c r="J8"/>
  <c r="J79" i="6"/>
  <c r="J78"/>
  <c r="J77"/>
  <c r="J74"/>
  <c r="J71"/>
  <c r="J68"/>
  <c r="J65"/>
  <c r="J62"/>
  <c r="J59"/>
  <c r="J56"/>
  <c r="J53"/>
  <c r="J50"/>
  <c r="J47"/>
  <c r="J44"/>
  <c r="J41"/>
  <c r="J38"/>
  <c r="J35"/>
  <c r="J32"/>
  <c r="J29"/>
  <c r="J26"/>
  <c r="J23"/>
  <c r="J20"/>
  <c r="J17"/>
  <c r="J14"/>
  <c r="J11"/>
  <c r="J8"/>
  <c r="I75" i="2"/>
  <c r="I74"/>
  <c r="I70"/>
  <c r="I71" s="1"/>
  <c r="I68"/>
  <c r="I64"/>
  <c r="I65" s="1"/>
  <c r="I61"/>
  <c r="I62" s="1"/>
  <c r="I59"/>
  <c r="I55"/>
  <c r="I56" s="1"/>
  <c r="I52"/>
  <c r="I53" s="1"/>
  <c r="I49"/>
  <c r="I76" s="1"/>
  <c r="I47"/>
  <c r="I44"/>
  <c r="I41"/>
  <c r="I38"/>
  <c r="I35"/>
  <c r="I32"/>
  <c r="I29"/>
  <c r="I26"/>
  <c r="I23"/>
  <c r="I20"/>
  <c r="I17"/>
  <c r="I14"/>
  <c r="I11"/>
  <c r="I8"/>
  <c r="I74" i="1"/>
  <c r="I70"/>
  <c r="I69"/>
  <c r="I71" s="1"/>
  <c r="I67"/>
  <c r="I66"/>
  <c r="I64"/>
  <c r="I63"/>
  <c r="I65" s="1"/>
  <c r="I61"/>
  <c r="I60"/>
  <c r="I58"/>
  <c r="I57"/>
  <c r="I59" s="1"/>
  <c r="I55"/>
  <c r="I54"/>
  <c r="I52"/>
  <c r="I51"/>
  <c r="I49"/>
  <c r="I76" s="1"/>
  <c r="I48"/>
  <c r="I47"/>
  <c r="I44"/>
  <c r="I41"/>
  <c r="I38"/>
  <c r="I35"/>
  <c r="I32"/>
  <c r="I29"/>
  <c r="I26"/>
  <c r="I23"/>
  <c r="I20"/>
  <c r="I17"/>
  <c r="I14"/>
  <c r="I11"/>
  <c r="I8"/>
  <c r="I79" i="5"/>
  <c r="I78"/>
  <c r="I8"/>
  <c r="I11"/>
  <c r="I14"/>
  <c r="I17"/>
  <c r="I20"/>
  <c r="I23"/>
  <c r="I26"/>
  <c r="I29"/>
  <c r="I32"/>
  <c r="I35"/>
  <c r="I38"/>
  <c r="I41"/>
  <c r="I47"/>
  <c r="I50"/>
  <c r="I53"/>
  <c r="I56"/>
  <c r="I59"/>
  <c r="I62"/>
  <c r="I65"/>
  <c r="I68"/>
  <c r="I71"/>
  <c r="I74"/>
  <c r="I77"/>
  <c r="I77" i="6"/>
  <c r="I74"/>
  <c r="I71"/>
  <c r="I68"/>
  <c r="I65"/>
  <c r="I62"/>
  <c r="I59"/>
  <c r="I56"/>
  <c r="I53"/>
  <c r="I50"/>
  <c r="I47"/>
  <c r="I44"/>
  <c r="I41"/>
  <c r="I38"/>
  <c r="I35"/>
  <c r="I32"/>
  <c r="I29"/>
  <c r="I26"/>
  <c r="I23"/>
  <c r="I20"/>
  <c r="I17"/>
  <c r="I14"/>
  <c r="I11"/>
  <c r="I8"/>
  <c r="I44" i="3"/>
  <c r="I41"/>
  <c r="I38"/>
  <c r="I35"/>
  <c r="I32"/>
  <c r="I29"/>
  <c r="I26"/>
  <c r="I23"/>
  <c r="I20"/>
  <c r="I17"/>
  <c r="I14"/>
  <c r="I11"/>
  <c r="I8"/>
  <c r="I44" i="4"/>
  <c r="I41"/>
  <c r="I38"/>
  <c r="I35"/>
  <c r="I32"/>
  <c r="I29"/>
  <c r="I26"/>
  <c r="I23"/>
  <c r="I20"/>
  <c r="I17"/>
  <c r="I14"/>
  <c r="I11"/>
  <c r="I8"/>
  <c r="J80" i="5" l="1"/>
  <c r="I75" i="1"/>
  <c r="I77" s="1"/>
  <c r="I56"/>
  <c r="I62"/>
  <c r="I68"/>
  <c r="I50" i="2"/>
  <c r="J80" i="6"/>
  <c r="I77" i="2"/>
  <c r="I53" i="1"/>
  <c r="I50"/>
  <c r="R14" i="3" l="1"/>
  <c r="L29" i="2"/>
  <c r="I79" i="6"/>
  <c r="I78"/>
  <c r="I46" i="3"/>
  <c r="I45"/>
  <c r="I46" i="4"/>
  <c r="I45"/>
  <c r="S72" i="2"/>
  <c r="S70" i="1"/>
  <c r="O67"/>
  <c r="O66"/>
  <c r="O58"/>
  <c r="R41"/>
  <c r="R71" i="2"/>
  <c r="O52"/>
  <c r="O51"/>
  <c r="O43"/>
  <c r="R79" i="5"/>
  <c r="R78"/>
  <c r="Q76" i="1"/>
  <c r="N52" i="2"/>
  <c r="S48"/>
  <c r="Q75"/>
  <c r="Q78" i="5"/>
  <c r="Q8" i="6"/>
  <c r="M70" i="1"/>
  <c r="M69"/>
  <c r="M66"/>
  <c r="M49"/>
  <c r="L41"/>
  <c r="H74"/>
  <c r="H70"/>
  <c r="H69"/>
  <c r="H67"/>
  <c r="H66"/>
  <c r="H64"/>
  <c r="H63"/>
  <c r="H61"/>
  <c r="H60"/>
  <c r="H58"/>
  <c r="H57"/>
  <c r="H55"/>
  <c r="H54"/>
  <c r="H52"/>
  <c r="H51"/>
  <c r="H49"/>
  <c r="H48"/>
  <c r="H46"/>
  <c r="H45"/>
  <c r="H43"/>
  <c r="H42"/>
  <c r="H40"/>
  <c r="H39"/>
  <c r="H38"/>
  <c r="H35"/>
  <c r="H32"/>
  <c r="H29"/>
  <c r="H26"/>
  <c r="H23"/>
  <c r="H20"/>
  <c r="H17"/>
  <c r="H14"/>
  <c r="H11"/>
  <c r="H8"/>
  <c r="L76" i="2"/>
  <c r="K76"/>
  <c r="H74"/>
  <c r="H70"/>
  <c r="H69"/>
  <c r="H68"/>
  <c r="H64"/>
  <c r="H63"/>
  <c r="H61"/>
  <c r="H60"/>
  <c r="H59"/>
  <c r="H55"/>
  <c r="H54"/>
  <c r="H52"/>
  <c r="H51"/>
  <c r="H49"/>
  <c r="H50"/>
  <c r="H48"/>
  <c r="H47"/>
  <c r="H43"/>
  <c r="H42"/>
  <c r="H41"/>
  <c r="H38"/>
  <c r="H35"/>
  <c r="H32"/>
  <c r="H29"/>
  <c r="H26"/>
  <c r="H23"/>
  <c r="H20"/>
  <c r="H17"/>
  <c r="H14"/>
  <c r="H11"/>
  <c r="H8"/>
  <c r="L78" i="5"/>
  <c r="K79"/>
  <c r="H77"/>
  <c r="H74"/>
  <c r="H71"/>
  <c r="H68"/>
  <c r="H65"/>
  <c r="H62"/>
  <c r="H59"/>
  <c r="H56"/>
  <c r="H53"/>
  <c r="H50"/>
  <c r="H47"/>
  <c r="H44"/>
  <c r="H40"/>
  <c r="H39"/>
  <c r="H38"/>
  <c r="H34"/>
  <c r="H33"/>
  <c r="H32"/>
  <c r="H29"/>
  <c r="H26"/>
  <c r="H23"/>
  <c r="H20"/>
  <c r="H17"/>
  <c r="H14"/>
  <c r="H11"/>
  <c r="H8"/>
  <c r="H77" i="6"/>
  <c r="H74"/>
  <c r="H71"/>
  <c r="H68"/>
  <c r="H65"/>
  <c r="H62"/>
  <c r="H59"/>
  <c r="H56"/>
  <c r="H53"/>
  <c r="H50"/>
  <c r="H47"/>
  <c r="H44"/>
  <c r="H40"/>
  <c r="H41" s="1"/>
  <c r="H39"/>
  <c r="H38"/>
  <c r="H34"/>
  <c r="H33"/>
  <c r="H32"/>
  <c r="H29"/>
  <c r="H26"/>
  <c r="H23"/>
  <c r="H20"/>
  <c r="H17"/>
  <c r="H14"/>
  <c r="H11"/>
  <c r="H8"/>
  <c r="H46" i="4"/>
  <c r="H45"/>
  <c r="H44"/>
  <c r="H41"/>
  <c r="H38"/>
  <c r="H35"/>
  <c r="H32"/>
  <c r="H29"/>
  <c r="H26"/>
  <c r="H23"/>
  <c r="H20"/>
  <c r="H17"/>
  <c r="H14"/>
  <c r="H11"/>
  <c r="H8"/>
  <c r="H46" i="3"/>
  <c r="H45"/>
  <c r="H44"/>
  <c r="H41"/>
  <c r="H38"/>
  <c r="H35"/>
  <c r="H32"/>
  <c r="H29"/>
  <c r="H26"/>
  <c r="H23"/>
  <c r="H20"/>
  <c r="H17"/>
  <c r="H14"/>
  <c r="H11"/>
  <c r="H8"/>
  <c r="F40" i="5"/>
  <c r="F39"/>
  <c r="E40"/>
  <c r="E39"/>
  <c r="F34"/>
  <c r="F79"/>
  <c r="F33"/>
  <c r="E34"/>
  <c r="E33"/>
  <c r="E78"/>
  <c r="D40"/>
  <c r="D39"/>
  <c r="D34"/>
  <c r="D33"/>
  <c r="D40" i="6"/>
  <c r="D39"/>
  <c r="D34"/>
  <c r="D35" s="1"/>
  <c r="D33"/>
  <c r="D78" s="1"/>
  <c r="F40"/>
  <c r="F41" s="1"/>
  <c r="F39"/>
  <c r="E39"/>
  <c r="E40"/>
  <c r="F34"/>
  <c r="F79" s="1"/>
  <c r="F80" s="1"/>
  <c r="F33"/>
  <c r="F78" s="1"/>
  <c r="E34"/>
  <c r="E35" s="1"/>
  <c r="E33"/>
  <c r="G40" i="5"/>
  <c r="G39"/>
  <c r="G34"/>
  <c r="G79" s="1"/>
  <c r="G33"/>
  <c r="G78" s="1"/>
  <c r="G40" i="6"/>
  <c r="G39"/>
  <c r="G34"/>
  <c r="G79" s="1"/>
  <c r="G33"/>
  <c r="G78" s="1"/>
  <c r="L79"/>
  <c r="L78"/>
  <c r="K79"/>
  <c r="M79" s="1"/>
  <c r="K78"/>
  <c r="R79"/>
  <c r="R78"/>
  <c r="Q79"/>
  <c r="Q78"/>
  <c r="M43" i="4"/>
  <c r="M42"/>
  <c r="M40"/>
  <c r="M39"/>
  <c r="M37"/>
  <c r="M36"/>
  <c r="M34"/>
  <c r="M33"/>
  <c r="M31"/>
  <c r="M30"/>
  <c r="M28"/>
  <c r="M27"/>
  <c r="M25"/>
  <c r="M24"/>
  <c r="M22"/>
  <c r="M21"/>
  <c r="M19"/>
  <c r="M18"/>
  <c r="M16"/>
  <c r="M15"/>
  <c r="M13"/>
  <c r="M12"/>
  <c r="M10"/>
  <c r="M9"/>
  <c r="M7"/>
  <c r="M6"/>
  <c r="S43"/>
  <c r="S42"/>
  <c r="S40"/>
  <c r="S39"/>
  <c r="S37"/>
  <c r="S36"/>
  <c r="S34"/>
  <c r="S33"/>
  <c r="S31"/>
  <c r="S30"/>
  <c r="S28"/>
  <c r="S27"/>
  <c r="S25"/>
  <c r="S24"/>
  <c r="S22"/>
  <c r="S21"/>
  <c r="S19"/>
  <c r="S18"/>
  <c r="S16"/>
  <c r="S15"/>
  <c r="S13"/>
  <c r="S12"/>
  <c r="S10"/>
  <c r="S9"/>
  <c r="S7"/>
  <c r="S6"/>
  <c r="M43" i="3"/>
  <c r="M42"/>
  <c r="M40"/>
  <c r="M39"/>
  <c r="M37"/>
  <c r="M36"/>
  <c r="M34"/>
  <c r="M33"/>
  <c r="M31"/>
  <c r="M30"/>
  <c r="M28"/>
  <c r="M27"/>
  <c r="M25"/>
  <c r="M24"/>
  <c r="M22"/>
  <c r="M21"/>
  <c r="M19"/>
  <c r="M18"/>
  <c r="M16"/>
  <c r="M15"/>
  <c r="M13"/>
  <c r="M12"/>
  <c r="M10"/>
  <c r="M9"/>
  <c r="M7"/>
  <c r="M6"/>
  <c r="S43"/>
  <c r="S42"/>
  <c r="S40"/>
  <c r="S39"/>
  <c r="S37"/>
  <c r="S36"/>
  <c r="S34"/>
  <c r="S33"/>
  <c r="S31"/>
  <c r="S30"/>
  <c r="S28"/>
  <c r="S27"/>
  <c r="S25"/>
  <c r="S24"/>
  <c r="S22"/>
  <c r="S21"/>
  <c r="S19"/>
  <c r="S18"/>
  <c r="S16"/>
  <c r="S15"/>
  <c r="S13"/>
  <c r="S12"/>
  <c r="S10"/>
  <c r="S9"/>
  <c r="S7"/>
  <c r="S6"/>
  <c r="S76" i="6"/>
  <c r="S75"/>
  <c r="S73"/>
  <c r="S72"/>
  <c r="S70"/>
  <c r="S69"/>
  <c r="S67"/>
  <c r="S66"/>
  <c r="S64"/>
  <c r="S63"/>
  <c r="S61"/>
  <c r="S60"/>
  <c r="S58"/>
  <c r="S57"/>
  <c r="S55"/>
  <c r="S54"/>
  <c r="S52"/>
  <c r="S51"/>
  <c r="S49"/>
  <c r="S48"/>
  <c r="S46"/>
  <c r="S45"/>
  <c r="S43"/>
  <c r="S42"/>
  <c r="S40"/>
  <c r="S39"/>
  <c r="S37"/>
  <c r="S36"/>
  <c r="S34"/>
  <c r="S33"/>
  <c r="S31"/>
  <c r="S30"/>
  <c r="S28"/>
  <c r="S27"/>
  <c r="S25"/>
  <c r="S24"/>
  <c r="S22"/>
  <c r="S21"/>
  <c r="S19"/>
  <c r="S18"/>
  <c r="S16"/>
  <c r="S15"/>
  <c r="S13"/>
  <c r="S12"/>
  <c r="S10"/>
  <c r="S9"/>
  <c r="S7"/>
  <c r="S6"/>
  <c r="M76"/>
  <c r="M75"/>
  <c r="M73"/>
  <c r="M72"/>
  <c r="M70"/>
  <c r="M69"/>
  <c r="M67"/>
  <c r="M66"/>
  <c r="M64"/>
  <c r="M63"/>
  <c r="M61"/>
  <c r="M60"/>
  <c r="M58"/>
  <c r="M57"/>
  <c r="M55"/>
  <c r="M54"/>
  <c r="M52"/>
  <c r="M51"/>
  <c r="M49"/>
  <c r="M48"/>
  <c r="M46"/>
  <c r="M45"/>
  <c r="M43"/>
  <c r="M42"/>
  <c r="M40"/>
  <c r="M39"/>
  <c r="M37"/>
  <c r="M36"/>
  <c r="M34"/>
  <c r="M33"/>
  <c r="M31"/>
  <c r="M30"/>
  <c r="M28"/>
  <c r="M27"/>
  <c r="M25"/>
  <c r="M24"/>
  <c r="M22"/>
  <c r="M21"/>
  <c r="M19"/>
  <c r="M18"/>
  <c r="M16"/>
  <c r="M15"/>
  <c r="M13"/>
  <c r="M12"/>
  <c r="M10"/>
  <c r="M9"/>
  <c r="M7"/>
  <c r="M6"/>
  <c r="S76" i="5"/>
  <c r="S75"/>
  <c r="S73"/>
  <c r="S72"/>
  <c r="S70"/>
  <c r="S69"/>
  <c r="S67"/>
  <c r="S66"/>
  <c r="S64"/>
  <c r="S63"/>
  <c r="S61"/>
  <c r="S60"/>
  <c r="S58"/>
  <c r="S57"/>
  <c r="S55"/>
  <c r="S54"/>
  <c r="S52"/>
  <c r="S51"/>
  <c r="S49"/>
  <c r="S48"/>
  <c r="S46"/>
  <c r="S45"/>
  <c r="S43"/>
  <c r="S42"/>
  <c r="S40"/>
  <c r="S37"/>
  <c r="S36"/>
  <c r="S31"/>
  <c r="S30"/>
  <c r="S28"/>
  <c r="S27"/>
  <c r="S25"/>
  <c r="S24"/>
  <c r="S22"/>
  <c r="S21"/>
  <c r="S19"/>
  <c r="S18"/>
  <c r="S16"/>
  <c r="S15"/>
  <c r="S13"/>
  <c r="S12"/>
  <c r="S10"/>
  <c r="S9"/>
  <c r="S7"/>
  <c r="S6"/>
  <c r="M76"/>
  <c r="M75"/>
  <c r="M73"/>
  <c r="M72"/>
  <c r="M70"/>
  <c r="M69"/>
  <c r="M67"/>
  <c r="M66"/>
  <c r="M64"/>
  <c r="M63"/>
  <c r="M61"/>
  <c r="M60"/>
  <c r="M58"/>
  <c r="M57"/>
  <c r="M55"/>
  <c r="M54"/>
  <c r="M52"/>
  <c r="M51"/>
  <c r="M49"/>
  <c r="M48"/>
  <c r="M46"/>
  <c r="M45"/>
  <c r="M43"/>
  <c r="M42"/>
  <c r="M37"/>
  <c r="M36"/>
  <c r="M31"/>
  <c r="M30"/>
  <c r="M28"/>
  <c r="M27"/>
  <c r="M25"/>
  <c r="M24"/>
  <c r="M22"/>
  <c r="M21"/>
  <c r="M19"/>
  <c r="M18"/>
  <c r="M16"/>
  <c r="M15"/>
  <c r="M13"/>
  <c r="M12"/>
  <c r="M10"/>
  <c r="M9"/>
  <c r="M7"/>
  <c r="M6"/>
  <c r="S30" i="2"/>
  <c r="R74" i="5"/>
  <c r="R62" i="6"/>
  <c r="G76" i="2"/>
  <c r="G75"/>
  <c r="G74"/>
  <c r="G71"/>
  <c r="G68"/>
  <c r="G65"/>
  <c r="G62"/>
  <c r="G59"/>
  <c r="G56"/>
  <c r="G53"/>
  <c r="G47"/>
  <c r="G50"/>
  <c r="G44"/>
  <c r="G41"/>
  <c r="G38"/>
  <c r="G35"/>
  <c r="G32"/>
  <c r="G29"/>
  <c r="G26"/>
  <c r="G23"/>
  <c r="G20"/>
  <c r="G17"/>
  <c r="G14"/>
  <c r="G11"/>
  <c r="G8"/>
  <c r="G8" i="1"/>
  <c r="G76"/>
  <c r="G75"/>
  <c r="G74"/>
  <c r="G71"/>
  <c r="G68"/>
  <c r="G65"/>
  <c r="G62"/>
  <c r="G59"/>
  <c r="G56"/>
  <c r="G53"/>
  <c r="G50"/>
  <c r="G47"/>
  <c r="G44"/>
  <c r="G41"/>
  <c r="G38"/>
  <c r="G35"/>
  <c r="G32"/>
  <c r="G29"/>
  <c r="G26"/>
  <c r="G23"/>
  <c r="G20"/>
  <c r="G17"/>
  <c r="G14"/>
  <c r="G11"/>
  <c r="K74" i="2"/>
  <c r="K71"/>
  <c r="K59"/>
  <c r="K56"/>
  <c r="K53"/>
  <c r="K47"/>
  <c r="K41"/>
  <c r="K38"/>
  <c r="K35"/>
  <c r="K32"/>
  <c r="K29"/>
  <c r="K26"/>
  <c r="K23"/>
  <c r="K20"/>
  <c r="K17"/>
  <c r="K14"/>
  <c r="K11"/>
  <c r="K8"/>
  <c r="K74" i="1"/>
  <c r="K71"/>
  <c r="K59"/>
  <c r="K47"/>
  <c r="K41"/>
  <c r="K38"/>
  <c r="K35"/>
  <c r="K32"/>
  <c r="K29"/>
  <c r="K26"/>
  <c r="K23"/>
  <c r="K20"/>
  <c r="K17"/>
  <c r="K14"/>
  <c r="K11"/>
  <c r="K8"/>
  <c r="G77" i="6"/>
  <c r="G74"/>
  <c r="G71"/>
  <c r="G68"/>
  <c r="G65"/>
  <c r="G62"/>
  <c r="G59"/>
  <c r="G56"/>
  <c r="G53"/>
  <c r="G50"/>
  <c r="G47"/>
  <c r="G44"/>
  <c r="G38"/>
  <c r="G32"/>
  <c r="G29"/>
  <c r="G26"/>
  <c r="G23"/>
  <c r="G20"/>
  <c r="K77"/>
  <c r="K74"/>
  <c r="K71"/>
  <c r="K68"/>
  <c r="K65"/>
  <c r="K62"/>
  <c r="K59"/>
  <c r="K56"/>
  <c r="K53"/>
  <c r="K50"/>
  <c r="K47"/>
  <c r="K44"/>
  <c r="K41"/>
  <c r="K38"/>
  <c r="K35"/>
  <c r="K32"/>
  <c r="K29"/>
  <c r="K26"/>
  <c r="K23"/>
  <c r="K20"/>
  <c r="K17"/>
  <c r="K14"/>
  <c r="K11"/>
  <c r="K8"/>
  <c r="K77" i="5"/>
  <c r="K74"/>
  <c r="K71"/>
  <c r="K68"/>
  <c r="K65"/>
  <c r="K62"/>
  <c r="K59"/>
  <c r="K56"/>
  <c r="K53"/>
  <c r="K50"/>
  <c r="K47"/>
  <c r="K44"/>
  <c r="K38"/>
  <c r="K32"/>
  <c r="K29"/>
  <c r="K26"/>
  <c r="K23"/>
  <c r="K20"/>
  <c r="K17"/>
  <c r="K14"/>
  <c r="K11"/>
  <c r="K8"/>
  <c r="G77"/>
  <c r="G74"/>
  <c r="G71"/>
  <c r="G68"/>
  <c r="G65"/>
  <c r="G62"/>
  <c r="G59"/>
  <c r="G56"/>
  <c r="G53"/>
  <c r="G50"/>
  <c r="G47"/>
  <c r="G44"/>
  <c r="G38"/>
  <c r="G32"/>
  <c r="G29"/>
  <c r="G26"/>
  <c r="G23"/>
  <c r="G20"/>
  <c r="G14"/>
  <c r="G11"/>
  <c r="G8"/>
  <c r="G46" i="4"/>
  <c r="G45"/>
  <c r="G44"/>
  <c r="G41"/>
  <c r="G38"/>
  <c r="G35"/>
  <c r="G32"/>
  <c r="G29"/>
  <c r="G26"/>
  <c r="G23"/>
  <c r="G20"/>
  <c r="G17"/>
  <c r="G14"/>
  <c r="G11"/>
  <c r="G8"/>
  <c r="N6" i="3"/>
  <c r="K44"/>
  <c r="K41"/>
  <c r="K38"/>
  <c r="K35"/>
  <c r="K32"/>
  <c r="K29"/>
  <c r="K26"/>
  <c r="K23"/>
  <c r="K20"/>
  <c r="K17"/>
  <c r="K14"/>
  <c r="K11"/>
  <c r="K8"/>
  <c r="L8"/>
  <c r="L11"/>
  <c r="L14"/>
  <c r="L17"/>
  <c r="L20"/>
  <c r="L23"/>
  <c r="L26"/>
  <c r="L29"/>
  <c r="L32"/>
  <c r="L35"/>
  <c r="L38"/>
  <c r="L41"/>
  <c r="L44"/>
  <c r="G44"/>
  <c r="G41"/>
  <c r="G38"/>
  <c r="G35"/>
  <c r="G32"/>
  <c r="G29"/>
  <c r="G26"/>
  <c r="G23"/>
  <c r="G20"/>
  <c r="G17"/>
  <c r="G14"/>
  <c r="G11"/>
  <c r="G8"/>
  <c r="G46"/>
  <c r="G45"/>
  <c r="F45"/>
  <c r="E14" i="5"/>
  <c r="F14"/>
  <c r="F68" i="2"/>
  <c r="E53"/>
  <c r="F53"/>
  <c r="F76"/>
  <c r="F75"/>
  <c r="F74"/>
  <c r="F71"/>
  <c r="F65"/>
  <c r="F62"/>
  <c r="F59"/>
  <c r="F56"/>
  <c r="F50"/>
  <c r="F47"/>
  <c r="F44"/>
  <c r="F41"/>
  <c r="F38"/>
  <c r="F35"/>
  <c r="F32"/>
  <c r="F29"/>
  <c r="F26"/>
  <c r="F23"/>
  <c r="F20"/>
  <c r="F17"/>
  <c r="F14"/>
  <c r="F11"/>
  <c r="F8"/>
  <c r="F76" i="1"/>
  <c r="F75"/>
  <c r="F77" s="1"/>
  <c r="F74"/>
  <c r="F71"/>
  <c r="F68"/>
  <c r="F65"/>
  <c r="F62"/>
  <c r="F59"/>
  <c r="F56"/>
  <c r="F53"/>
  <c r="F50"/>
  <c r="F47"/>
  <c r="F44"/>
  <c r="F41"/>
  <c r="F38"/>
  <c r="F35"/>
  <c r="F32"/>
  <c r="F29"/>
  <c r="F26"/>
  <c r="F23"/>
  <c r="F20"/>
  <c r="F17"/>
  <c r="F14"/>
  <c r="F11"/>
  <c r="F8"/>
  <c r="F77" i="6"/>
  <c r="F74"/>
  <c r="F71"/>
  <c r="F68"/>
  <c r="F65"/>
  <c r="F62"/>
  <c r="F59"/>
  <c r="F56"/>
  <c r="F53"/>
  <c r="F50"/>
  <c r="F47"/>
  <c r="F44"/>
  <c r="F38"/>
  <c r="F32"/>
  <c r="F29"/>
  <c r="F26"/>
  <c r="F23"/>
  <c r="F20"/>
  <c r="F17"/>
  <c r="F14"/>
  <c r="F11"/>
  <c r="F8"/>
  <c r="F77" i="5"/>
  <c r="F74"/>
  <c r="F71"/>
  <c r="F68"/>
  <c r="F65"/>
  <c r="F62"/>
  <c r="F59"/>
  <c r="F56"/>
  <c r="F53"/>
  <c r="F50"/>
  <c r="F47"/>
  <c r="F44"/>
  <c r="F38"/>
  <c r="F32"/>
  <c r="F29"/>
  <c r="F26"/>
  <c r="F23"/>
  <c r="F20"/>
  <c r="F11"/>
  <c r="F8"/>
  <c r="F44" i="4"/>
  <c r="F41"/>
  <c r="F38"/>
  <c r="F35"/>
  <c r="F32"/>
  <c r="F29"/>
  <c r="F26"/>
  <c r="F23"/>
  <c r="F20"/>
  <c r="F17"/>
  <c r="K17"/>
  <c r="L17"/>
  <c r="Q17"/>
  <c r="R17"/>
  <c r="F14"/>
  <c r="F11"/>
  <c r="F8"/>
  <c r="E45"/>
  <c r="F45"/>
  <c r="E46"/>
  <c r="F46"/>
  <c r="F44" i="3"/>
  <c r="F41"/>
  <c r="F38"/>
  <c r="F35"/>
  <c r="F32"/>
  <c r="F29"/>
  <c r="F26"/>
  <c r="F23"/>
  <c r="F20"/>
  <c r="F17"/>
  <c r="F14"/>
  <c r="F11"/>
  <c r="F8"/>
  <c r="E45"/>
  <c r="E46"/>
  <c r="F46"/>
  <c r="R77" i="6"/>
  <c r="Q77"/>
  <c r="L77"/>
  <c r="E77"/>
  <c r="D77"/>
  <c r="O76"/>
  <c r="N76"/>
  <c r="O75"/>
  <c r="N75"/>
  <c r="R74"/>
  <c r="Q74"/>
  <c r="L74"/>
  <c r="E74"/>
  <c r="D74"/>
  <c r="O73"/>
  <c r="N73"/>
  <c r="O72"/>
  <c r="N72"/>
  <c r="P72" s="1"/>
  <c r="R71"/>
  <c r="Q71"/>
  <c r="L71"/>
  <c r="E71"/>
  <c r="D71"/>
  <c r="O70"/>
  <c r="N70"/>
  <c r="O69"/>
  <c r="N69"/>
  <c r="R68"/>
  <c r="Q68"/>
  <c r="L68"/>
  <c r="E68"/>
  <c r="D68"/>
  <c r="O67"/>
  <c r="N67"/>
  <c r="O66"/>
  <c r="O68" s="1"/>
  <c r="N66"/>
  <c r="R65"/>
  <c r="Q65"/>
  <c r="L65"/>
  <c r="E65"/>
  <c r="D65"/>
  <c r="O64"/>
  <c r="N64"/>
  <c r="O63"/>
  <c r="O65" s="1"/>
  <c r="N63"/>
  <c r="Q62"/>
  <c r="L62"/>
  <c r="E62"/>
  <c r="D62"/>
  <c r="O61"/>
  <c r="N61"/>
  <c r="O60"/>
  <c r="N60"/>
  <c r="R59"/>
  <c r="Q59"/>
  <c r="L59"/>
  <c r="E59"/>
  <c r="D59"/>
  <c r="O58"/>
  <c r="N58"/>
  <c r="O57"/>
  <c r="O59" s="1"/>
  <c r="N57"/>
  <c r="R56"/>
  <c r="Q56"/>
  <c r="L56"/>
  <c r="E56"/>
  <c r="D56"/>
  <c r="O55"/>
  <c r="N55"/>
  <c r="O54"/>
  <c r="N54"/>
  <c r="R53"/>
  <c r="Q53"/>
  <c r="L53"/>
  <c r="E53"/>
  <c r="D53"/>
  <c r="O52"/>
  <c r="O53" s="1"/>
  <c r="N52"/>
  <c r="O51"/>
  <c r="N51"/>
  <c r="R50"/>
  <c r="Q50"/>
  <c r="L50"/>
  <c r="E50"/>
  <c r="D50"/>
  <c r="O49"/>
  <c r="N49"/>
  <c r="O48"/>
  <c r="N48"/>
  <c r="R47"/>
  <c r="Q47"/>
  <c r="L47"/>
  <c r="E47"/>
  <c r="D47"/>
  <c r="O46"/>
  <c r="N46"/>
  <c r="O45"/>
  <c r="N45"/>
  <c r="P45" s="1"/>
  <c r="R44"/>
  <c r="Q44"/>
  <c r="L44"/>
  <c r="E44"/>
  <c r="D44"/>
  <c r="O43"/>
  <c r="N43"/>
  <c r="O42"/>
  <c r="P42" s="1"/>
  <c r="N42"/>
  <c r="R41"/>
  <c r="Q41"/>
  <c r="L41"/>
  <c r="O40"/>
  <c r="N40"/>
  <c r="O39"/>
  <c r="N39"/>
  <c r="R38"/>
  <c r="Q38"/>
  <c r="L38"/>
  <c r="E38"/>
  <c r="D38"/>
  <c r="O37"/>
  <c r="N37"/>
  <c r="O36"/>
  <c r="O38" s="1"/>
  <c r="N36"/>
  <c r="R35"/>
  <c r="Q35"/>
  <c r="L35"/>
  <c r="O34"/>
  <c r="N34"/>
  <c r="O33"/>
  <c r="N33"/>
  <c r="P33" s="1"/>
  <c r="R32"/>
  <c r="Q32"/>
  <c r="L32"/>
  <c r="E32"/>
  <c r="D32"/>
  <c r="O31"/>
  <c r="N31"/>
  <c r="O30"/>
  <c r="P30" s="1"/>
  <c r="N30"/>
  <c r="R29"/>
  <c r="Q29"/>
  <c r="L29"/>
  <c r="E29"/>
  <c r="D29"/>
  <c r="O28"/>
  <c r="N28"/>
  <c r="O27"/>
  <c r="O29" s="1"/>
  <c r="N27"/>
  <c r="N29" s="1"/>
  <c r="R26"/>
  <c r="Q26"/>
  <c r="L26"/>
  <c r="E26"/>
  <c r="D26"/>
  <c r="O25"/>
  <c r="N25"/>
  <c r="O24"/>
  <c r="P24" s="1"/>
  <c r="N24"/>
  <c r="R23"/>
  <c r="Q23"/>
  <c r="L23"/>
  <c r="E23"/>
  <c r="D23"/>
  <c r="O22"/>
  <c r="N22"/>
  <c r="O21"/>
  <c r="O23" s="1"/>
  <c r="N21"/>
  <c r="R20"/>
  <c r="Q20"/>
  <c r="L20"/>
  <c r="E20"/>
  <c r="D20"/>
  <c r="O19"/>
  <c r="N19"/>
  <c r="O18"/>
  <c r="N18"/>
  <c r="R17"/>
  <c r="Q17"/>
  <c r="L17"/>
  <c r="E17"/>
  <c r="D17"/>
  <c r="O16"/>
  <c r="P16" s="1"/>
  <c r="N16"/>
  <c r="O15"/>
  <c r="N15"/>
  <c r="P15" s="1"/>
  <c r="R14"/>
  <c r="Q14"/>
  <c r="L14"/>
  <c r="E14"/>
  <c r="D14"/>
  <c r="O13"/>
  <c r="N13"/>
  <c r="O12"/>
  <c r="N12"/>
  <c r="R11"/>
  <c r="Q11"/>
  <c r="L11"/>
  <c r="E11"/>
  <c r="D11"/>
  <c r="O10"/>
  <c r="N10"/>
  <c r="O9"/>
  <c r="N9"/>
  <c r="R8"/>
  <c r="L8"/>
  <c r="E8"/>
  <c r="D8"/>
  <c r="O7"/>
  <c r="N7"/>
  <c r="O6"/>
  <c r="O8" s="1"/>
  <c r="N6"/>
  <c r="R77" i="5"/>
  <c r="Q77"/>
  <c r="L77"/>
  <c r="E77"/>
  <c r="D77"/>
  <c r="O76"/>
  <c r="N76"/>
  <c r="O75"/>
  <c r="N75"/>
  <c r="Q74"/>
  <c r="L74"/>
  <c r="E74"/>
  <c r="D74"/>
  <c r="O73"/>
  <c r="N73"/>
  <c r="O72"/>
  <c r="N72"/>
  <c r="R71"/>
  <c r="Q71"/>
  <c r="L71"/>
  <c r="E71"/>
  <c r="D71"/>
  <c r="O70"/>
  <c r="N70"/>
  <c r="O69"/>
  <c r="N69"/>
  <c r="R68"/>
  <c r="Q68"/>
  <c r="L68"/>
  <c r="E68"/>
  <c r="D68"/>
  <c r="O67"/>
  <c r="N67"/>
  <c r="O66"/>
  <c r="N66"/>
  <c r="R65"/>
  <c r="Q65"/>
  <c r="L65"/>
  <c r="E65"/>
  <c r="D65"/>
  <c r="O64"/>
  <c r="N64"/>
  <c r="O63"/>
  <c r="N63"/>
  <c r="R62"/>
  <c r="Q62"/>
  <c r="L62"/>
  <c r="E62"/>
  <c r="D62"/>
  <c r="O61"/>
  <c r="N61"/>
  <c r="O60"/>
  <c r="N60"/>
  <c r="R59"/>
  <c r="Q59"/>
  <c r="L59"/>
  <c r="E59"/>
  <c r="D59"/>
  <c r="O58"/>
  <c r="N58"/>
  <c r="O57"/>
  <c r="N57"/>
  <c r="R56"/>
  <c r="Q56"/>
  <c r="L56"/>
  <c r="E56"/>
  <c r="D56"/>
  <c r="O55"/>
  <c r="N55"/>
  <c r="O54"/>
  <c r="N54"/>
  <c r="R53"/>
  <c r="Q53"/>
  <c r="L53"/>
  <c r="E53"/>
  <c r="D53"/>
  <c r="O52"/>
  <c r="N52"/>
  <c r="O51"/>
  <c r="N51"/>
  <c r="R50"/>
  <c r="Q50"/>
  <c r="L50"/>
  <c r="E50"/>
  <c r="D50"/>
  <c r="O49"/>
  <c r="N49"/>
  <c r="O48"/>
  <c r="N48"/>
  <c r="N50" s="1"/>
  <c r="R47"/>
  <c r="Q47"/>
  <c r="L47"/>
  <c r="E47"/>
  <c r="D47"/>
  <c r="O46"/>
  <c r="N46"/>
  <c r="O45"/>
  <c r="N45"/>
  <c r="R44"/>
  <c r="Q44"/>
  <c r="L44"/>
  <c r="E44"/>
  <c r="D44"/>
  <c r="O43"/>
  <c r="N43"/>
  <c r="O42"/>
  <c r="N42"/>
  <c r="R38"/>
  <c r="Q38"/>
  <c r="L38"/>
  <c r="E38"/>
  <c r="D38"/>
  <c r="O37"/>
  <c r="N37"/>
  <c r="O36"/>
  <c r="P36" s="1"/>
  <c r="N36"/>
  <c r="R32"/>
  <c r="Q32"/>
  <c r="L32"/>
  <c r="E32"/>
  <c r="D32"/>
  <c r="O31"/>
  <c r="N31"/>
  <c r="O30"/>
  <c r="N30"/>
  <c r="R29"/>
  <c r="Q29"/>
  <c r="L29"/>
  <c r="E29"/>
  <c r="D29"/>
  <c r="O28"/>
  <c r="N28"/>
  <c r="O27"/>
  <c r="N27"/>
  <c r="R26"/>
  <c r="Q26"/>
  <c r="L26"/>
  <c r="E26"/>
  <c r="D26"/>
  <c r="O25"/>
  <c r="N25"/>
  <c r="O24"/>
  <c r="N24"/>
  <c r="R23"/>
  <c r="Q23"/>
  <c r="L23"/>
  <c r="E23"/>
  <c r="D23"/>
  <c r="O22"/>
  <c r="N22"/>
  <c r="O21"/>
  <c r="N21"/>
  <c r="R20"/>
  <c r="Q20"/>
  <c r="L20"/>
  <c r="E20"/>
  <c r="D20"/>
  <c r="O19"/>
  <c r="N19"/>
  <c r="O18"/>
  <c r="N18"/>
  <c r="R17"/>
  <c r="Q17"/>
  <c r="L17"/>
  <c r="D17"/>
  <c r="O16"/>
  <c r="N16"/>
  <c r="O15"/>
  <c r="O17" s="1"/>
  <c r="N15"/>
  <c r="R14"/>
  <c r="Q14"/>
  <c r="L14"/>
  <c r="D14"/>
  <c r="O13"/>
  <c r="N13"/>
  <c r="O12"/>
  <c r="N12"/>
  <c r="R11"/>
  <c r="Q11"/>
  <c r="L11"/>
  <c r="E11"/>
  <c r="D11"/>
  <c r="O10"/>
  <c r="N10"/>
  <c r="O9"/>
  <c r="N9"/>
  <c r="R8"/>
  <c r="Q8"/>
  <c r="L8"/>
  <c r="E8"/>
  <c r="D8"/>
  <c r="O7"/>
  <c r="N7"/>
  <c r="O6"/>
  <c r="N6"/>
  <c r="P6" s="1"/>
  <c r="R46" i="4"/>
  <c r="Q46"/>
  <c r="L46"/>
  <c r="K46"/>
  <c r="D46"/>
  <c r="R45"/>
  <c r="Q45"/>
  <c r="L45"/>
  <c r="K45"/>
  <c r="D45"/>
  <c r="R44"/>
  <c r="Q44"/>
  <c r="L44"/>
  <c r="K44"/>
  <c r="E44"/>
  <c r="D44"/>
  <c r="O43"/>
  <c r="N43"/>
  <c r="O42"/>
  <c r="N42"/>
  <c r="R41"/>
  <c r="Q41"/>
  <c r="L41"/>
  <c r="K41"/>
  <c r="E41"/>
  <c r="D41"/>
  <c r="O40"/>
  <c r="N40"/>
  <c r="O39"/>
  <c r="N39"/>
  <c r="R38"/>
  <c r="Q38"/>
  <c r="L38"/>
  <c r="K38"/>
  <c r="E38"/>
  <c r="D38"/>
  <c r="O37"/>
  <c r="N37"/>
  <c r="O36"/>
  <c r="N36"/>
  <c r="N38" s="1"/>
  <c r="R35"/>
  <c r="Q35"/>
  <c r="L35"/>
  <c r="K35"/>
  <c r="E35"/>
  <c r="D35"/>
  <c r="O34"/>
  <c r="N34"/>
  <c r="O33"/>
  <c r="N33"/>
  <c r="R32"/>
  <c r="Q32"/>
  <c r="L32"/>
  <c r="K32"/>
  <c r="E32"/>
  <c r="D32"/>
  <c r="O31"/>
  <c r="N31"/>
  <c r="O30"/>
  <c r="N30"/>
  <c r="R29"/>
  <c r="Q29"/>
  <c r="L29"/>
  <c r="K29"/>
  <c r="E29"/>
  <c r="D29"/>
  <c r="O28"/>
  <c r="N28"/>
  <c r="O27"/>
  <c r="N27"/>
  <c r="R26"/>
  <c r="Q26"/>
  <c r="L26"/>
  <c r="K26"/>
  <c r="E26"/>
  <c r="D26"/>
  <c r="O25"/>
  <c r="N25"/>
  <c r="O24"/>
  <c r="N24"/>
  <c r="R23"/>
  <c r="Q23"/>
  <c r="L23"/>
  <c r="K23"/>
  <c r="E23"/>
  <c r="D23"/>
  <c r="O22"/>
  <c r="N22"/>
  <c r="O21"/>
  <c r="N21"/>
  <c r="R20"/>
  <c r="Q20"/>
  <c r="L20"/>
  <c r="K20"/>
  <c r="E20"/>
  <c r="D20"/>
  <c r="O19"/>
  <c r="N19"/>
  <c r="O18"/>
  <c r="P18" s="1"/>
  <c r="N18"/>
  <c r="E17"/>
  <c r="D17"/>
  <c r="O16"/>
  <c r="N16"/>
  <c r="O15"/>
  <c r="P15" s="1"/>
  <c r="N15"/>
  <c r="R14"/>
  <c r="Q14"/>
  <c r="L14"/>
  <c r="K14"/>
  <c r="E14"/>
  <c r="D14"/>
  <c r="O13"/>
  <c r="N13"/>
  <c r="O12"/>
  <c r="N12"/>
  <c r="R11"/>
  <c r="Q11"/>
  <c r="L11"/>
  <c r="K11"/>
  <c r="E11"/>
  <c r="D11"/>
  <c r="O10"/>
  <c r="N10"/>
  <c r="O9"/>
  <c r="N9"/>
  <c r="R8"/>
  <c r="Q8"/>
  <c r="L8"/>
  <c r="K8"/>
  <c r="E8"/>
  <c r="D8"/>
  <c r="O7"/>
  <c r="N7"/>
  <c r="O6"/>
  <c r="N6"/>
  <c r="R46" i="3"/>
  <c r="Q46"/>
  <c r="L46"/>
  <c r="K46"/>
  <c r="D46"/>
  <c r="R45"/>
  <c r="Q45"/>
  <c r="L45"/>
  <c r="K45"/>
  <c r="D45"/>
  <c r="R44"/>
  <c r="Q44"/>
  <c r="E44"/>
  <c r="D44"/>
  <c r="O43"/>
  <c r="N43"/>
  <c r="O42"/>
  <c r="N42"/>
  <c r="R41"/>
  <c r="Q41"/>
  <c r="E41"/>
  <c r="D41"/>
  <c r="O40"/>
  <c r="N40"/>
  <c r="O39"/>
  <c r="N39"/>
  <c r="R38"/>
  <c r="Q38"/>
  <c r="E38"/>
  <c r="D38"/>
  <c r="O37"/>
  <c r="N37"/>
  <c r="O36"/>
  <c r="P36" s="1"/>
  <c r="N36"/>
  <c r="R35"/>
  <c r="Q35"/>
  <c r="E35"/>
  <c r="D35"/>
  <c r="O34"/>
  <c r="O35" s="1"/>
  <c r="N34"/>
  <c r="O33"/>
  <c r="N33"/>
  <c r="N35" s="1"/>
  <c r="R32"/>
  <c r="Q32"/>
  <c r="E32"/>
  <c r="D32"/>
  <c r="O31"/>
  <c r="N31"/>
  <c r="O30"/>
  <c r="N30"/>
  <c r="N32" s="1"/>
  <c r="R29"/>
  <c r="Q29"/>
  <c r="E29"/>
  <c r="D29"/>
  <c r="O28"/>
  <c r="N28"/>
  <c r="O27"/>
  <c r="N27"/>
  <c r="R26"/>
  <c r="Q26"/>
  <c r="E26"/>
  <c r="D26"/>
  <c r="O25"/>
  <c r="N25"/>
  <c r="O24"/>
  <c r="N24"/>
  <c r="N26" s="1"/>
  <c r="R23"/>
  <c r="Q23"/>
  <c r="E23"/>
  <c r="D23"/>
  <c r="O22"/>
  <c r="N22"/>
  <c r="O21"/>
  <c r="O23" s="1"/>
  <c r="N21"/>
  <c r="R20"/>
  <c r="Q20"/>
  <c r="E20"/>
  <c r="D20"/>
  <c r="O19"/>
  <c r="N19"/>
  <c r="O18"/>
  <c r="N18"/>
  <c r="R17"/>
  <c r="Q17"/>
  <c r="E17"/>
  <c r="D17"/>
  <c r="O16"/>
  <c r="N16"/>
  <c r="O15"/>
  <c r="N15"/>
  <c r="Q14"/>
  <c r="E14"/>
  <c r="D14"/>
  <c r="O13"/>
  <c r="N13"/>
  <c r="O12"/>
  <c r="N12"/>
  <c r="R11"/>
  <c r="Q11"/>
  <c r="E11"/>
  <c r="D11"/>
  <c r="O10"/>
  <c r="N10"/>
  <c r="O9"/>
  <c r="N9"/>
  <c r="R8"/>
  <c r="Q8"/>
  <c r="E8"/>
  <c r="D8"/>
  <c r="O7"/>
  <c r="N7"/>
  <c r="O6"/>
  <c r="P6" s="1"/>
  <c r="Q74" i="2"/>
  <c r="D74"/>
  <c r="E74"/>
  <c r="L74"/>
  <c r="Q71"/>
  <c r="D71"/>
  <c r="E71"/>
  <c r="R65"/>
  <c r="Q65"/>
  <c r="L65"/>
  <c r="E65"/>
  <c r="D65"/>
  <c r="D62"/>
  <c r="E62"/>
  <c r="R59"/>
  <c r="Q59"/>
  <c r="L59"/>
  <c r="E59"/>
  <c r="D59"/>
  <c r="R56"/>
  <c r="Q56"/>
  <c r="D56"/>
  <c r="L56"/>
  <c r="E56"/>
  <c r="D53"/>
  <c r="L53"/>
  <c r="D50"/>
  <c r="E50"/>
  <c r="R47"/>
  <c r="Q47"/>
  <c r="D47"/>
  <c r="E47"/>
  <c r="L47"/>
  <c r="D44"/>
  <c r="E44"/>
  <c r="R41"/>
  <c r="Q41"/>
  <c r="L41"/>
  <c r="D41"/>
  <c r="E41"/>
  <c r="R38"/>
  <c r="Q38"/>
  <c r="D38"/>
  <c r="E38"/>
  <c r="L38"/>
  <c r="R35"/>
  <c r="Q35"/>
  <c r="D35"/>
  <c r="E35"/>
  <c r="L35"/>
  <c r="R32"/>
  <c r="Q32"/>
  <c r="D32"/>
  <c r="E32"/>
  <c r="L32"/>
  <c r="R29"/>
  <c r="Q29"/>
  <c r="D29"/>
  <c r="E29"/>
  <c r="R26"/>
  <c r="Q26"/>
  <c r="D26"/>
  <c r="E26"/>
  <c r="L26"/>
  <c r="R23"/>
  <c r="Q23"/>
  <c r="D23"/>
  <c r="E23"/>
  <c r="L23"/>
  <c r="R20"/>
  <c r="Q20"/>
  <c r="D20"/>
  <c r="E20"/>
  <c r="L20"/>
  <c r="R17"/>
  <c r="Q17"/>
  <c r="D17"/>
  <c r="E17"/>
  <c r="L17"/>
  <c r="R14"/>
  <c r="Q14"/>
  <c r="D14"/>
  <c r="E14"/>
  <c r="L14"/>
  <c r="R11"/>
  <c r="Q11"/>
  <c r="D11"/>
  <c r="E11"/>
  <c r="L11"/>
  <c r="R8"/>
  <c r="Q8"/>
  <c r="D8"/>
  <c r="E8"/>
  <c r="L8"/>
  <c r="R74" i="1"/>
  <c r="Q74"/>
  <c r="D74"/>
  <c r="E74"/>
  <c r="L74"/>
  <c r="Q71"/>
  <c r="D71"/>
  <c r="E71"/>
  <c r="D68"/>
  <c r="E68"/>
  <c r="L68"/>
  <c r="D65"/>
  <c r="D62"/>
  <c r="E62"/>
  <c r="Q59"/>
  <c r="D59"/>
  <c r="E59"/>
  <c r="L59"/>
  <c r="D56"/>
  <c r="E56"/>
  <c r="D53"/>
  <c r="E53"/>
  <c r="D50"/>
  <c r="E50"/>
  <c r="R47"/>
  <c r="Q47"/>
  <c r="D47"/>
  <c r="E47"/>
  <c r="L47"/>
  <c r="D44"/>
  <c r="E44"/>
  <c r="Q41"/>
  <c r="D41"/>
  <c r="E41"/>
  <c r="R38"/>
  <c r="Q38"/>
  <c r="D38"/>
  <c r="E38"/>
  <c r="L38"/>
  <c r="R35"/>
  <c r="Q35"/>
  <c r="R32"/>
  <c r="Q32"/>
  <c r="D35"/>
  <c r="E35"/>
  <c r="L35"/>
  <c r="D32"/>
  <c r="E32"/>
  <c r="L32"/>
  <c r="R29"/>
  <c r="Q29"/>
  <c r="D29"/>
  <c r="E29"/>
  <c r="L29"/>
  <c r="R26"/>
  <c r="Q26"/>
  <c r="D26"/>
  <c r="E26"/>
  <c r="L26"/>
  <c r="R23"/>
  <c r="Q23"/>
  <c r="L23"/>
  <c r="D23"/>
  <c r="E23"/>
  <c r="R20"/>
  <c r="Q20"/>
  <c r="D20"/>
  <c r="E20"/>
  <c r="L20"/>
  <c r="R17"/>
  <c r="Q17"/>
  <c r="D17"/>
  <c r="E17"/>
  <c r="L17"/>
  <c r="R14"/>
  <c r="Q14"/>
  <c r="L14"/>
  <c r="D14"/>
  <c r="E14"/>
  <c r="R11"/>
  <c r="Q11"/>
  <c r="L11"/>
  <c r="D11"/>
  <c r="E11"/>
  <c r="R8"/>
  <c r="Q8"/>
  <c r="L8"/>
  <c r="E8"/>
  <c r="D8"/>
  <c r="D76" i="2"/>
  <c r="E75"/>
  <c r="D75"/>
  <c r="S73"/>
  <c r="O73"/>
  <c r="N73"/>
  <c r="M73"/>
  <c r="N72"/>
  <c r="N74" s="1"/>
  <c r="M72"/>
  <c r="N70"/>
  <c r="N69"/>
  <c r="R68"/>
  <c r="Q68"/>
  <c r="S67"/>
  <c r="O67"/>
  <c r="N67"/>
  <c r="M67"/>
  <c r="S66"/>
  <c r="O66"/>
  <c r="N66"/>
  <c r="P66"/>
  <c r="M66"/>
  <c r="S64"/>
  <c r="O64"/>
  <c r="N64"/>
  <c r="M64"/>
  <c r="S63"/>
  <c r="O63"/>
  <c r="O65" s="1"/>
  <c r="S58"/>
  <c r="O58"/>
  <c r="N58"/>
  <c r="P58" s="1"/>
  <c r="M58"/>
  <c r="S57"/>
  <c r="O57"/>
  <c r="N57"/>
  <c r="M57"/>
  <c r="N55"/>
  <c r="O55"/>
  <c r="S54"/>
  <c r="O54"/>
  <c r="N54"/>
  <c r="N56" s="1"/>
  <c r="M54"/>
  <c r="M52"/>
  <c r="M51"/>
  <c r="S46"/>
  <c r="O46"/>
  <c r="N46"/>
  <c r="M46"/>
  <c r="S45"/>
  <c r="O45"/>
  <c r="N45"/>
  <c r="M45"/>
  <c r="E76"/>
  <c r="S40"/>
  <c r="O40"/>
  <c r="N40"/>
  <c r="M40"/>
  <c r="S39"/>
  <c r="O39"/>
  <c r="N39"/>
  <c r="M39"/>
  <c r="S37"/>
  <c r="O37"/>
  <c r="N37"/>
  <c r="M37"/>
  <c r="S36"/>
  <c r="O36"/>
  <c r="N36"/>
  <c r="M36"/>
  <c r="S34"/>
  <c r="O34"/>
  <c r="N34"/>
  <c r="M34"/>
  <c r="S33"/>
  <c r="O33"/>
  <c r="N33"/>
  <c r="M33"/>
  <c r="S31"/>
  <c r="O31"/>
  <c r="N31"/>
  <c r="M31"/>
  <c r="O30"/>
  <c r="N30"/>
  <c r="M30"/>
  <c r="S28"/>
  <c r="O28"/>
  <c r="N28"/>
  <c r="M28"/>
  <c r="S27"/>
  <c r="O27"/>
  <c r="N27"/>
  <c r="N29" s="1"/>
  <c r="M27"/>
  <c r="S25"/>
  <c r="O25"/>
  <c r="N25"/>
  <c r="M25"/>
  <c r="S24"/>
  <c r="O24"/>
  <c r="N24"/>
  <c r="M24"/>
  <c r="S22"/>
  <c r="O22"/>
  <c r="N22"/>
  <c r="M22"/>
  <c r="S21"/>
  <c r="O21"/>
  <c r="N21"/>
  <c r="M21"/>
  <c r="S19"/>
  <c r="O19"/>
  <c r="N19"/>
  <c r="M19"/>
  <c r="S18"/>
  <c r="O18"/>
  <c r="N18"/>
  <c r="M18"/>
  <c r="S16"/>
  <c r="O16"/>
  <c r="N16"/>
  <c r="M16"/>
  <c r="S15"/>
  <c r="O15"/>
  <c r="N15"/>
  <c r="M15"/>
  <c r="S13"/>
  <c r="O13"/>
  <c r="N13"/>
  <c r="M13"/>
  <c r="S12"/>
  <c r="O12"/>
  <c r="O14" s="1"/>
  <c r="N12"/>
  <c r="N14" s="1"/>
  <c r="M12"/>
  <c r="S10"/>
  <c r="O10"/>
  <c r="N10"/>
  <c r="M10"/>
  <c r="S9"/>
  <c r="O9"/>
  <c r="N9"/>
  <c r="M9"/>
  <c r="S7"/>
  <c r="O7"/>
  <c r="N7"/>
  <c r="M7"/>
  <c r="S6"/>
  <c r="O6"/>
  <c r="N6"/>
  <c r="M6"/>
  <c r="D75" i="1"/>
  <c r="S73"/>
  <c r="O73"/>
  <c r="N73"/>
  <c r="M73"/>
  <c r="S72"/>
  <c r="O72"/>
  <c r="N72"/>
  <c r="M72"/>
  <c r="N70"/>
  <c r="N69"/>
  <c r="E64"/>
  <c r="E65"/>
  <c r="N58"/>
  <c r="N57"/>
  <c r="M57"/>
  <c r="D76"/>
  <c r="S46"/>
  <c r="O46"/>
  <c r="N46"/>
  <c r="M46"/>
  <c r="S45"/>
  <c r="O45"/>
  <c r="N45"/>
  <c r="M45"/>
  <c r="R76"/>
  <c r="E75"/>
  <c r="N40"/>
  <c r="S39"/>
  <c r="O39"/>
  <c r="N39"/>
  <c r="M39"/>
  <c r="S37"/>
  <c r="O37"/>
  <c r="P37" s="1"/>
  <c r="N37"/>
  <c r="M37"/>
  <c r="S36"/>
  <c r="O36"/>
  <c r="O38" s="1"/>
  <c r="N36"/>
  <c r="M36"/>
  <c r="S34"/>
  <c r="O34"/>
  <c r="N34"/>
  <c r="M34"/>
  <c r="S33"/>
  <c r="O33"/>
  <c r="N33"/>
  <c r="M33"/>
  <c r="S31"/>
  <c r="O31"/>
  <c r="N31"/>
  <c r="M31"/>
  <c r="S30"/>
  <c r="O30"/>
  <c r="N30"/>
  <c r="M30"/>
  <c r="S28"/>
  <c r="O28"/>
  <c r="N28"/>
  <c r="M28"/>
  <c r="S27"/>
  <c r="O27"/>
  <c r="N27"/>
  <c r="M27"/>
  <c r="S25"/>
  <c r="O25"/>
  <c r="N25"/>
  <c r="M25"/>
  <c r="S24"/>
  <c r="O24"/>
  <c r="N24"/>
  <c r="M24"/>
  <c r="S22"/>
  <c r="O22"/>
  <c r="O23" s="1"/>
  <c r="N22"/>
  <c r="M22"/>
  <c r="S21"/>
  <c r="O21"/>
  <c r="N21"/>
  <c r="M21"/>
  <c r="S19"/>
  <c r="O19"/>
  <c r="N19"/>
  <c r="M19"/>
  <c r="S18"/>
  <c r="O18"/>
  <c r="N18"/>
  <c r="M18"/>
  <c r="S16"/>
  <c r="O16"/>
  <c r="N16"/>
  <c r="M16"/>
  <c r="S15"/>
  <c r="O15"/>
  <c r="N15"/>
  <c r="M15"/>
  <c r="S13"/>
  <c r="O13"/>
  <c r="N13"/>
  <c r="M13"/>
  <c r="S12"/>
  <c r="O12"/>
  <c r="N12"/>
  <c r="M12"/>
  <c r="S10"/>
  <c r="O10"/>
  <c r="N10"/>
  <c r="M10"/>
  <c r="S9"/>
  <c r="O9"/>
  <c r="N9"/>
  <c r="M9"/>
  <c r="S7"/>
  <c r="O7"/>
  <c r="N7"/>
  <c r="M7"/>
  <c r="S6"/>
  <c r="O6"/>
  <c r="N6"/>
  <c r="M6"/>
  <c r="M55" i="2"/>
  <c r="S55"/>
  <c r="M70"/>
  <c r="O70"/>
  <c r="S70"/>
  <c r="M58" i="1"/>
  <c r="S60" i="2"/>
  <c r="S69"/>
  <c r="N52" i="1"/>
  <c r="O65" i="5"/>
  <c r="M33"/>
  <c r="S51" i="1"/>
  <c r="O35" i="6"/>
  <c r="N56"/>
  <c r="E79" i="5"/>
  <c r="E80" s="1"/>
  <c r="O64" i="1"/>
  <c r="P55" i="5"/>
  <c r="M61" i="2"/>
  <c r="O56" i="5"/>
  <c r="O43" i="1"/>
  <c r="M52"/>
  <c r="H50"/>
  <c r="L65"/>
  <c r="L80" i="6"/>
  <c r="N20" i="5"/>
  <c r="O33"/>
  <c r="F47" i="4"/>
  <c r="M34" i="5"/>
  <c r="M40"/>
  <c r="M49" i="2"/>
  <c r="L75" i="1"/>
  <c r="N60"/>
  <c r="P9" i="3"/>
  <c r="P19"/>
  <c r="O41"/>
  <c r="O53" i="5"/>
  <c r="S58" i="1"/>
  <c r="S40"/>
  <c r="N51" i="2"/>
  <c r="H62" i="1"/>
  <c r="P64" i="5"/>
  <c r="O29" i="3"/>
  <c r="O59" i="5"/>
  <c r="N77"/>
  <c r="N32" i="6"/>
  <c r="N38"/>
  <c r="M43" i="2"/>
  <c r="M48" i="1"/>
  <c r="N51"/>
  <c r="N63"/>
  <c r="N66"/>
  <c r="S42" i="2"/>
  <c r="O49"/>
  <c r="O61" i="1"/>
  <c r="N54"/>
  <c r="S51" i="2"/>
  <c r="P37" i="5"/>
  <c r="E41"/>
  <c r="H53" i="2"/>
  <c r="N48"/>
  <c r="L50"/>
  <c r="N60"/>
  <c r="L62"/>
  <c r="H41" i="1"/>
  <c r="H44"/>
  <c r="H56"/>
  <c r="H68"/>
  <c r="M43"/>
  <c r="K68"/>
  <c r="O49"/>
  <c r="L53"/>
  <c r="O55"/>
  <c r="O70"/>
  <c r="P70" s="1"/>
  <c r="Q35" i="5"/>
  <c r="Q44" i="2"/>
  <c r="S52"/>
  <c r="S49" i="1"/>
  <c r="Q53"/>
  <c r="S61"/>
  <c r="S64"/>
  <c r="S67"/>
  <c r="P54" i="2"/>
  <c r="P40" i="4"/>
  <c r="N44" i="5"/>
  <c r="N62"/>
  <c r="N68"/>
  <c r="N74"/>
  <c r="N14" i="6"/>
  <c r="O17"/>
  <c r="N20"/>
  <c r="N26"/>
  <c r="N74"/>
  <c r="E35" i="5"/>
  <c r="N35" i="1"/>
  <c r="O14"/>
  <c r="O17"/>
  <c r="O32"/>
  <c r="O8" i="2"/>
  <c r="O17"/>
  <c r="N35"/>
  <c r="N29" i="3"/>
  <c r="N20" i="4"/>
  <c r="P24"/>
  <c r="P24" i="5"/>
  <c r="P45"/>
  <c r="O68"/>
  <c r="P76"/>
  <c r="P39" i="6"/>
  <c r="N62"/>
  <c r="P63"/>
  <c r="E77" i="2"/>
  <c r="P6" i="4"/>
  <c r="P27" i="5"/>
  <c r="P75" i="6"/>
  <c r="F47" i="3"/>
  <c r="N11" i="2"/>
  <c r="N47"/>
  <c r="O26" i="3"/>
  <c r="O38"/>
  <c r="O44"/>
  <c r="O8" i="4"/>
  <c r="O11"/>
  <c r="O32" i="5"/>
  <c r="O56" i="6"/>
  <c r="M61" i="1"/>
  <c r="N41"/>
  <c r="O44" i="5"/>
  <c r="P46"/>
  <c r="P48"/>
  <c r="P52"/>
  <c r="P57"/>
  <c r="P60"/>
  <c r="P63"/>
  <c r="N65"/>
  <c r="P66"/>
  <c r="P69"/>
  <c r="P75"/>
  <c r="O77"/>
  <c r="P9" i="6"/>
  <c r="P28"/>
  <c r="O41"/>
  <c r="P43" i="5"/>
  <c r="O62"/>
  <c r="M67" i="1"/>
  <c r="O52"/>
  <c r="P52" s="1"/>
  <c r="S43"/>
  <c r="N43"/>
  <c r="N61"/>
  <c r="S66"/>
  <c r="O48" i="2"/>
  <c r="O50" s="1"/>
  <c r="O60"/>
  <c r="N61"/>
  <c r="N62" s="1"/>
  <c r="R75"/>
  <c r="Q76"/>
  <c r="Q62" i="1"/>
  <c r="Q50" i="2"/>
  <c r="Q53"/>
  <c r="Q62"/>
  <c r="R74"/>
  <c r="O34" i="5"/>
  <c r="O35" s="1"/>
  <c r="N34"/>
  <c r="N17" i="2"/>
  <c r="E76" i="1"/>
  <c r="M60" i="2"/>
  <c r="N43"/>
  <c r="N49"/>
  <c r="N50" s="1"/>
  <c r="O51" i="1"/>
  <c r="O53" s="1"/>
  <c r="P10" i="2"/>
  <c r="P55"/>
  <c r="P73"/>
  <c r="P10" i="3"/>
  <c r="P25"/>
  <c r="P28"/>
  <c r="L47"/>
  <c r="Q47"/>
  <c r="N23" i="4"/>
  <c r="N41"/>
  <c r="N44"/>
  <c r="N17" i="5"/>
  <c r="P18"/>
  <c r="P22"/>
  <c r="P31"/>
  <c r="P49" i="6"/>
  <c r="P57"/>
  <c r="F77" i="2"/>
  <c r="G77"/>
  <c r="F35" i="6"/>
  <c r="D41" i="5"/>
  <c r="H35"/>
  <c r="L41"/>
  <c r="H59" i="1"/>
  <c r="H65"/>
  <c r="H71"/>
  <c r="K62"/>
  <c r="L50"/>
  <c r="L71"/>
  <c r="N33" i="5"/>
  <c r="N8"/>
  <c r="P36" i="6"/>
  <c r="L44" i="2"/>
  <c r="O42"/>
  <c r="M42"/>
  <c r="K65"/>
  <c r="M63"/>
  <c r="Q41" i="5"/>
  <c r="N40"/>
  <c r="N79" s="1"/>
  <c r="S55" i="1"/>
  <c r="Q68"/>
  <c r="N67"/>
  <c r="S34" i="5"/>
  <c r="R35"/>
  <c r="R44" i="2"/>
  <c r="S43"/>
  <c r="R62"/>
  <c r="S61"/>
  <c r="L71"/>
  <c r="O69"/>
  <c r="P69" s="1"/>
  <c r="M69"/>
  <c r="R44" i="1"/>
  <c r="S42"/>
  <c r="R50"/>
  <c r="R56"/>
  <c r="O54"/>
  <c r="R62"/>
  <c r="O60"/>
  <c r="S60"/>
  <c r="R65"/>
  <c r="O63"/>
  <c r="P63" s="1"/>
  <c r="R71"/>
  <c r="S69"/>
  <c r="O47" i="2"/>
  <c r="N59" i="5"/>
  <c r="P58"/>
  <c r="O74"/>
  <c r="N17" i="6"/>
  <c r="D79" i="5"/>
  <c r="D35"/>
  <c r="L79"/>
  <c r="M79" s="1"/>
  <c r="L35"/>
  <c r="L76" i="1"/>
  <c r="O40"/>
  <c r="O41" s="1"/>
  <c r="M40"/>
  <c r="L56"/>
  <c r="M54"/>
  <c r="L62"/>
  <c r="M60"/>
  <c r="L44"/>
  <c r="N41" i="3"/>
  <c r="N8" i="4"/>
  <c r="N17"/>
  <c r="N29"/>
  <c r="N44" i="6"/>
  <c r="O47"/>
  <c r="N77"/>
  <c r="O23" i="5"/>
  <c r="P40" i="3"/>
  <c r="N50" i="6"/>
  <c r="P16" i="5"/>
  <c r="N32"/>
  <c r="N8" i="3"/>
  <c r="S52" i="1"/>
  <c r="O42"/>
  <c r="O61" i="2"/>
  <c r="S49"/>
  <c r="N23" i="1"/>
  <c r="N32"/>
  <c r="O48"/>
  <c r="O57"/>
  <c r="P57" s="1"/>
  <c r="O69"/>
  <c r="P69" s="1"/>
  <c r="N38" i="2"/>
  <c r="M48"/>
  <c r="N63"/>
  <c r="O72"/>
  <c r="P72" s="1"/>
  <c r="Q44" i="1"/>
  <c r="R53"/>
  <c r="Q65"/>
  <c r="R68"/>
  <c r="N38" i="5"/>
  <c r="O40"/>
  <c r="P40" s="1"/>
  <c r="R41"/>
  <c r="O50"/>
  <c r="N53"/>
  <c r="H53" i="1"/>
  <c r="M51"/>
  <c r="M63"/>
  <c r="P7"/>
  <c r="G41" i="6"/>
  <c r="G41" i="5"/>
  <c r="E78" i="6"/>
  <c r="H47" i="3"/>
  <c r="H79" i="5"/>
  <c r="K35"/>
  <c r="K44" i="2"/>
  <c r="K50"/>
  <c r="K62"/>
  <c r="H76" i="1"/>
  <c r="H47"/>
  <c r="K53"/>
  <c r="Q79" i="5"/>
  <c r="Q80" s="1"/>
  <c r="R53" i="2"/>
  <c r="O11" i="1"/>
  <c r="N14"/>
  <c r="N29"/>
  <c r="P33"/>
  <c r="P34"/>
  <c r="P39"/>
  <c r="O47"/>
  <c r="P72"/>
  <c r="N74"/>
  <c r="O11" i="2"/>
  <c r="P18"/>
  <c r="O26"/>
  <c r="P36"/>
  <c r="P39"/>
  <c r="N41"/>
  <c r="O56"/>
  <c r="P13"/>
  <c r="P10" i="1"/>
  <c r="P12"/>
  <c r="P13"/>
  <c r="P16"/>
  <c r="P18"/>
  <c r="P22"/>
  <c r="P24"/>
  <c r="P27"/>
  <c r="O29"/>
  <c r="P30"/>
  <c r="P31"/>
  <c r="N59"/>
  <c r="P9" i="2"/>
  <c r="P16"/>
  <c r="P24"/>
  <c r="P30"/>
  <c r="P45"/>
  <c r="O8" i="1"/>
  <c r="O20"/>
  <c r="O35"/>
  <c r="O74"/>
  <c r="N20" i="2"/>
  <c r="N26"/>
  <c r="O38"/>
  <c r="O68"/>
  <c r="O14" i="3"/>
  <c r="O17"/>
  <c r="O20"/>
  <c r="P37" i="2"/>
  <c r="P57"/>
  <c r="P25"/>
  <c r="P36" i="1"/>
  <c r="P21" i="2"/>
  <c r="P7"/>
  <c r="P64"/>
  <c r="P70"/>
  <c r="G35" i="5"/>
  <c r="G35" i="6"/>
  <c r="S33" i="5"/>
  <c r="P13" i="3"/>
  <c r="P16"/>
  <c r="O59" i="2"/>
  <c r="P21" i="5"/>
  <c r="P12" i="6"/>
  <c r="N56" i="5"/>
  <c r="P22" i="3"/>
  <c r="P30"/>
  <c r="P33"/>
  <c r="P9" i="4"/>
  <c r="P30"/>
  <c r="P42"/>
  <c r="P42" i="5"/>
  <c r="P49"/>
  <c r="P70"/>
  <c r="P72"/>
  <c r="P46" i="1"/>
  <c r="D77"/>
  <c r="O23" i="2"/>
  <c r="D77"/>
  <c r="P42" i="3"/>
  <c r="D47"/>
  <c r="P28" i="4"/>
  <c r="P34"/>
  <c r="P67" i="5"/>
  <c r="P69" i="6"/>
  <c r="E47" i="3"/>
  <c r="G47"/>
  <c r="G47" i="4"/>
  <c r="H78" i="6"/>
  <c r="H78" i="5"/>
  <c r="H41"/>
  <c r="H62" i="2"/>
  <c r="H75" i="1"/>
  <c r="H77" s="1"/>
  <c r="O11" i="3"/>
  <c r="N32" i="4"/>
  <c r="O71" i="6"/>
  <c r="H47" i="4"/>
  <c r="N71" i="1"/>
  <c r="P39" i="3"/>
  <c r="P7" i="4"/>
  <c r="N26" i="5"/>
  <c r="N29"/>
  <c r="P30"/>
  <c r="N47"/>
  <c r="P54"/>
  <c r="N71"/>
  <c r="P18" i="6"/>
  <c r="N65"/>
  <c r="P70"/>
  <c r="N53" i="1"/>
  <c r="N68"/>
  <c r="P61"/>
  <c r="P33" i="5"/>
  <c r="N62" i="1"/>
  <c r="P40"/>
  <c r="O62"/>
  <c r="O50"/>
  <c r="O71"/>
  <c r="P60"/>
  <c r="O56"/>
  <c r="L80" i="5"/>
  <c r="N35"/>
  <c r="N17" i="3"/>
  <c r="P15"/>
  <c r="N20"/>
  <c r="P18"/>
  <c r="O32"/>
  <c r="P31"/>
  <c r="O20" i="4"/>
  <c r="P33"/>
  <c r="O35"/>
  <c r="O38"/>
  <c r="P37"/>
  <c r="O41"/>
  <c r="P39"/>
  <c r="O44"/>
  <c r="P43"/>
  <c r="H79" i="6"/>
  <c r="K44" i="1"/>
  <c r="N42"/>
  <c r="P42" s="1"/>
  <c r="M42"/>
  <c r="K56"/>
  <c r="N55"/>
  <c r="M55"/>
  <c r="N65" i="2"/>
  <c r="P63"/>
  <c r="P54" i="1"/>
  <c r="O29" i="4"/>
  <c r="K50" i="1"/>
  <c r="P9" i="5"/>
  <c r="O11"/>
  <c r="N11" i="6"/>
  <c r="O26"/>
  <c r="O32"/>
  <c r="P43"/>
  <c r="N47"/>
  <c r="P48"/>
  <c r="P51"/>
  <c r="N59"/>
  <c r="P60"/>
  <c r="O74"/>
  <c r="Q80"/>
  <c r="M78"/>
  <c r="N68" i="2"/>
  <c r="P67"/>
  <c r="P12" i="3"/>
  <c r="N14"/>
  <c r="P24"/>
  <c r="P10" i="4"/>
  <c r="K47"/>
  <c r="P7" i="5"/>
  <c r="O8"/>
  <c r="M39"/>
  <c r="N39"/>
  <c r="K41"/>
  <c r="K78"/>
  <c r="K80" s="1"/>
  <c r="P21" i="3"/>
  <c r="E79" i="6"/>
  <c r="E80" s="1"/>
  <c r="F35" i="5"/>
  <c r="K75" i="1"/>
  <c r="N48"/>
  <c r="P48" s="1"/>
  <c r="S48"/>
  <c r="Q50"/>
  <c r="Q56"/>
  <c r="S54"/>
  <c r="S63"/>
  <c r="S39" i="5"/>
  <c r="O39"/>
  <c r="R50" i="2"/>
  <c r="R76"/>
  <c r="S57" i="1"/>
  <c r="R59"/>
  <c r="R75"/>
  <c r="P43"/>
  <c r="O44"/>
  <c r="O14" i="4"/>
  <c r="P13"/>
  <c r="H44" i="2"/>
  <c r="H75"/>
  <c r="K65" i="1"/>
  <c r="M64"/>
  <c r="N64"/>
  <c r="N65" s="1"/>
  <c r="P49" i="2"/>
  <c r="P31" i="4"/>
  <c r="H76" i="2"/>
  <c r="H77" s="1"/>
  <c r="P51" i="1"/>
  <c r="O20" i="5"/>
  <c r="O26" i="4"/>
  <c r="O23"/>
  <c r="P43" i="3"/>
  <c r="M46"/>
  <c r="D78" i="5"/>
  <c r="D80" s="1"/>
  <c r="L75" i="2"/>
  <c r="K76" i="1"/>
  <c r="Q75"/>
  <c r="N49"/>
  <c r="P49" s="1"/>
  <c r="E47" i="4"/>
  <c r="D79" i="6"/>
  <c r="K75" i="2"/>
  <c r="N42"/>
  <c r="P42" s="1"/>
  <c r="N41" i="5"/>
  <c r="N44" i="1"/>
  <c r="P39" i="5"/>
  <c r="O41"/>
  <c r="N56" i="1"/>
  <c r="O29" i="5" l="1"/>
  <c r="O62" i="2"/>
  <c r="O65" i="1"/>
  <c r="P28"/>
  <c r="S76"/>
  <c r="P21"/>
  <c r="O20" i="2"/>
  <c r="P6"/>
  <c r="N47" i="1"/>
  <c r="N44" i="2"/>
  <c r="Q77" i="1"/>
  <c r="P34" i="2"/>
  <c r="P33"/>
  <c r="P31"/>
  <c r="P66" i="6"/>
  <c r="O79"/>
  <c r="P52"/>
  <c r="P28" i="5"/>
  <c r="P22" i="6"/>
  <c r="P10"/>
  <c r="P73" i="5"/>
  <c r="P64" i="6"/>
  <c r="P25"/>
  <c r="P13"/>
  <c r="N78" i="5"/>
  <c r="N80" s="1"/>
  <c r="P37" i="3"/>
  <c r="P34"/>
  <c r="S46"/>
  <c r="N38"/>
  <c r="P16" i="4"/>
  <c r="P7" i="3"/>
  <c r="N46"/>
  <c r="P55" i="1"/>
  <c r="O35" i="2"/>
  <c r="P19"/>
  <c r="P15"/>
  <c r="L77"/>
  <c r="P45" i="1"/>
  <c r="M75"/>
  <c r="P54" i="6"/>
  <c r="O50"/>
  <c r="N79"/>
  <c r="N23"/>
  <c r="O20"/>
  <c r="S79"/>
  <c r="P15" i="1"/>
  <c r="P28" i="2"/>
  <c r="H65"/>
  <c r="H71"/>
  <c r="O77" i="6"/>
  <c r="P73"/>
  <c r="P58"/>
  <c r="P46"/>
  <c r="O44"/>
  <c r="P40"/>
  <c r="P7"/>
  <c r="N68"/>
  <c r="P61"/>
  <c r="P55"/>
  <c r="N53"/>
  <c r="P37"/>
  <c r="N35"/>
  <c r="P31"/>
  <c r="P79"/>
  <c r="P12" i="5"/>
  <c r="K80" i="6"/>
  <c r="O78" i="5"/>
  <c r="N11"/>
  <c r="O26"/>
  <c r="O45" i="4"/>
  <c r="N11"/>
  <c r="O62" i="6"/>
  <c r="P27"/>
  <c r="P19"/>
  <c r="P76"/>
  <c r="N8"/>
  <c r="P67"/>
  <c r="O46" i="3"/>
  <c r="P46" s="1"/>
  <c r="L47" i="4"/>
  <c r="P22"/>
  <c r="M46"/>
  <c r="N45" i="3"/>
  <c r="P36" i="4"/>
  <c r="N46"/>
  <c r="P19"/>
  <c r="D47"/>
  <c r="N26"/>
  <c r="O74" i="2"/>
  <c r="O29"/>
  <c r="O78" i="6"/>
  <c r="O80" s="1"/>
  <c r="P34"/>
  <c r="P25" i="5"/>
  <c r="P15"/>
  <c r="O14"/>
  <c r="P21" i="6"/>
  <c r="R80"/>
  <c r="S78"/>
  <c r="P6"/>
  <c r="R47" i="3"/>
  <c r="S45"/>
  <c r="R47" i="4"/>
  <c r="P19" i="1"/>
  <c r="R77"/>
  <c r="P60" i="2"/>
  <c r="O32"/>
  <c r="R77"/>
  <c r="S76"/>
  <c r="P61"/>
  <c r="N53"/>
  <c r="P51"/>
  <c r="P40"/>
  <c r="P73" i="1"/>
  <c r="N38"/>
  <c r="N26"/>
  <c r="N17"/>
  <c r="N11"/>
  <c r="N32" i="2"/>
  <c r="Q77"/>
  <c r="P27"/>
  <c r="N75"/>
  <c r="S75"/>
  <c r="P12"/>
  <c r="N8"/>
  <c r="R80" i="5"/>
  <c r="S78"/>
  <c r="S79"/>
  <c r="P13"/>
  <c r="P10"/>
  <c r="O45" i="3"/>
  <c r="O46" i="4"/>
  <c r="P12"/>
  <c r="Q47"/>
  <c r="S46"/>
  <c r="P58" i="1"/>
  <c r="O59"/>
  <c r="O68"/>
  <c r="P67"/>
  <c r="P66"/>
  <c r="D80" i="6"/>
  <c r="H80"/>
  <c r="P34" i="5"/>
  <c r="H80"/>
  <c r="N20" i="1"/>
  <c r="L77"/>
  <c r="E77"/>
  <c r="P48" i="2"/>
  <c r="O41"/>
  <c r="P9" i="1"/>
  <c r="P46" i="2"/>
  <c r="N23" i="3"/>
  <c r="M45"/>
  <c r="M45" i="4"/>
  <c r="S45"/>
  <c r="O38" i="5"/>
  <c r="P61"/>
  <c r="G77" i="1"/>
  <c r="E41" i="6"/>
  <c r="D41"/>
  <c r="F78" i="5"/>
  <c r="F41"/>
  <c r="H35" i="6"/>
  <c r="H56" i="2"/>
  <c r="I47" i="4"/>
  <c r="I47" i="3"/>
  <c r="I80" i="6"/>
  <c r="I80" i="5"/>
  <c r="O75" i="2"/>
  <c r="O71"/>
  <c r="P6" i="1"/>
  <c r="P22" i="2"/>
  <c r="P64" i="1"/>
  <c r="N75"/>
  <c r="P25"/>
  <c r="N23" i="2"/>
  <c r="N76"/>
  <c r="N23" i="5"/>
  <c r="N78" i="6"/>
  <c r="P27" i="3"/>
  <c r="K47"/>
  <c r="N47"/>
  <c r="P27" i="4"/>
  <c r="P25"/>
  <c r="P21"/>
  <c r="N45"/>
  <c r="O75" i="1"/>
  <c r="N76"/>
  <c r="O76"/>
  <c r="O26"/>
  <c r="N8"/>
  <c r="K77"/>
  <c r="S75"/>
  <c r="M76"/>
  <c r="N50"/>
  <c r="N71" i="2"/>
  <c r="N59"/>
  <c r="M75"/>
  <c r="K77"/>
  <c r="M76"/>
  <c r="O76"/>
  <c r="P43"/>
  <c r="O44"/>
  <c r="O53"/>
  <c r="P52"/>
  <c r="O71" i="5"/>
  <c r="P51"/>
  <c r="O47"/>
  <c r="O79"/>
  <c r="P19"/>
  <c r="N14"/>
  <c r="M78"/>
  <c r="G80"/>
  <c r="F80"/>
  <c r="N71" i="6"/>
  <c r="N41"/>
  <c r="O14"/>
  <c r="O11"/>
  <c r="G80"/>
  <c r="N44" i="3"/>
  <c r="N11"/>
  <c r="P45"/>
  <c r="O8"/>
  <c r="N35" i="4"/>
  <c r="O32"/>
  <c r="O17"/>
  <c r="N14"/>
  <c r="N77" i="2" l="1"/>
  <c r="P78" i="5"/>
  <c r="P78" i="6"/>
  <c r="O80" i="5"/>
  <c r="P45" i="4"/>
  <c r="O47"/>
  <c r="O47" i="3"/>
  <c r="P46" i="4"/>
  <c r="P75" i="1"/>
  <c r="P75" i="2"/>
  <c r="N47" i="4"/>
  <c r="O77" i="1"/>
  <c r="N77"/>
  <c r="N80" i="6"/>
  <c r="P76" i="1"/>
  <c r="O77" i="2"/>
  <c r="P76"/>
  <c r="P79" i="5"/>
</calcChain>
</file>

<file path=xl/sharedStrings.xml><?xml version="1.0" encoding="utf-8"?>
<sst xmlns="http://schemas.openxmlformats.org/spreadsheetml/2006/main" count="1176" uniqueCount="229">
  <si>
    <t>2009년</t>
  </si>
  <si>
    <t>2010년</t>
  </si>
  <si>
    <t>1월</t>
  </si>
  <si>
    <t>2 월</t>
  </si>
  <si>
    <t>1 ~ 2 월</t>
  </si>
  <si>
    <t>동기비</t>
  </si>
  <si>
    <t>811251
811259</t>
    <phoneticPr fontId="2" type="noConversion"/>
  </si>
  <si>
    <t>8112923000
8112993000</t>
    <phoneticPr fontId="2" type="noConversion"/>
  </si>
  <si>
    <t>8112924000
8112994000</t>
    <phoneticPr fontId="2" type="noConversion"/>
  </si>
  <si>
    <t>8112927000
8112997000</t>
    <phoneticPr fontId="3" type="noConversion"/>
  </si>
  <si>
    <t>기타</t>
  </si>
  <si>
    <t>소계</t>
  </si>
  <si>
    <t>동광
과 
그 정광</t>
    <phoneticPr fontId="1" type="noConversion"/>
  </si>
  <si>
    <t>니켈광
과
그 정광</t>
    <phoneticPr fontId="1" type="noConversion"/>
  </si>
  <si>
    <t>코발트광
과
그 정광</t>
    <phoneticPr fontId="1" type="noConversion"/>
  </si>
  <si>
    <t>알루미늄광과
그 정광</t>
    <phoneticPr fontId="1" type="noConversion"/>
  </si>
  <si>
    <t>연광
과
그 정광</t>
    <phoneticPr fontId="1" type="noConversion"/>
  </si>
  <si>
    <t>아연광
과
그 정광</t>
    <phoneticPr fontId="1" type="noConversion"/>
  </si>
  <si>
    <t>주석광
과
그 정광</t>
    <phoneticPr fontId="1" type="noConversion"/>
  </si>
  <si>
    <t>텅스텐광
과
그 정광</t>
    <phoneticPr fontId="1" type="noConversion"/>
  </si>
  <si>
    <t>우라늄광
또는
토륨광과 
그 정광</t>
    <phoneticPr fontId="1" type="noConversion"/>
  </si>
  <si>
    <t>몰리브덴광
과
그 정광</t>
    <phoneticPr fontId="1" type="noConversion"/>
  </si>
  <si>
    <t>티타늄광
과
그 정광</t>
    <phoneticPr fontId="1" type="noConversion"/>
  </si>
  <si>
    <t>기타의 광
과
그 정광</t>
    <phoneticPr fontId="1" type="noConversion"/>
  </si>
  <si>
    <t>(단위 : kg, US$, %)</t>
    <phoneticPr fontId="1" type="noConversion"/>
  </si>
  <si>
    <t>2805.30.</t>
    <phoneticPr fontId="1" type="noConversion"/>
  </si>
  <si>
    <t>2805.30.1000</t>
    <phoneticPr fontId="1" type="noConversion"/>
  </si>
  <si>
    <t>2805.30.3000</t>
    <phoneticPr fontId="1" type="noConversion"/>
  </si>
  <si>
    <t>2805.30.5000</t>
    <phoneticPr fontId="1" type="noConversion"/>
  </si>
  <si>
    <t>2805.30.9000</t>
    <phoneticPr fontId="1" type="noConversion"/>
  </si>
  <si>
    <t>2817.00.1000</t>
    <phoneticPr fontId="1" type="noConversion"/>
  </si>
  <si>
    <t>2818.20.0000</t>
    <phoneticPr fontId="1" type="noConversion"/>
  </si>
  <si>
    <t>2823.00.</t>
    <phoneticPr fontId="1" type="noConversion"/>
  </si>
  <si>
    <t>2825.20.1000</t>
    <phoneticPr fontId="1" type="noConversion"/>
  </si>
  <si>
    <t>2825.30.</t>
    <phoneticPr fontId="1" type="noConversion"/>
  </si>
  <si>
    <t>2825.40.1000</t>
    <phoneticPr fontId="1" type="noConversion"/>
  </si>
  <si>
    <t>2825.50.1000</t>
    <phoneticPr fontId="1" type="noConversion"/>
  </si>
  <si>
    <t>2825.60.1000</t>
    <phoneticPr fontId="1" type="noConversion"/>
  </si>
  <si>
    <t>크롬광
과
그 정광</t>
    <phoneticPr fontId="1" type="noConversion"/>
  </si>
  <si>
    <t>2013년</t>
  </si>
  <si>
    <t>(단위 : kg, US$, %)</t>
    <phoneticPr fontId="2" type="noConversion"/>
  </si>
  <si>
    <t>2014년</t>
  </si>
  <si>
    <t>중량</t>
  </si>
  <si>
    <t>2015년</t>
  </si>
  <si>
    <t>HS Code 26류 수출</t>
    <phoneticPr fontId="1" type="noConversion"/>
  </si>
  <si>
    <t>HS Code 26류 수입</t>
    <phoneticPr fontId="1" type="noConversion"/>
  </si>
  <si>
    <t>HS Code 28류 수출</t>
    <phoneticPr fontId="1" type="noConversion"/>
  </si>
  <si>
    <t>HS Code 28류 수입</t>
    <phoneticPr fontId="1" type="noConversion"/>
  </si>
  <si>
    <t>HS Code 81류 수출</t>
    <phoneticPr fontId="2" type="noConversion"/>
  </si>
  <si>
    <t>HS Code 81류 수입</t>
    <phoneticPr fontId="2" type="noConversion"/>
  </si>
  <si>
    <t>금액</t>
    <phoneticPr fontId="3" type="noConversion"/>
  </si>
  <si>
    <t>단가</t>
    <phoneticPr fontId="3" type="noConversion"/>
  </si>
  <si>
    <r>
      <rPr>
        <b/>
        <sz val="10"/>
        <rFont val="맑은 고딕"/>
        <family val="3"/>
        <charset val="129"/>
      </rPr>
      <t>단가</t>
    </r>
    <phoneticPr fontId="3" type="noConversion"/>
  </si>
  <si>
    <t>중량</t>
    <phoneticPr fontId="3" type="noConversion"/>
  </si>
  <si>
    <t>2015년</t>
    <phoneticPr fontId="6" type="noConversion"/>
  </si>
  <si>
    <t>2011년</t>
    <phoneticPr fontId="6" type="noConversion"/>
  </si>
  <si>
    <t>2012년</t>
    <phoneticPr fontId="6" type="noConversion"/>
  </si>
  <si>
    <t>2013년</t>
    <phoneticPr fontId="6" type="noConversion"/>
  </si>
  <si>
    <t>동광
과 
그 정광</t>
    <phoneticPr fontId="1" type="noConversion"/>
  </si>
  <si>
    <t>니켈광
과
그 정광</t>
    <phoneticPr fontId="1" type="noConversion"/>
  </si>
  <si>
    <t>코발트광
과
그 정광</t>
    <phoneticPr fontId="1" type="noConversion"/>
  </si>
  <si>
    <t>알루미늄광과
그 정광</t>
    <phoneticPr fontId="1" type="noConversion"/>
  </si>
  <si>
    <t>연광
과
그 정광</t>
    <phoneticPr fontId="1" type="noConversion"/>
  </si>
  <si>
    <t>아연광
과
그 정광</t>
    <phoneticPr fontId="1" type="noConversion"/>
  </si>
  <si>
    <t>주석광
과
그 정광</t>
    <phoneticPr fontId="1" type="noConversion"/>
  </si>
  <si>
    <t>크롬광
과
그 정광</t>
    <phoneticPr fontId="1" type="noConversion"/>
  </si>
  <si>
    <t>텅스텐광
과
그 정광</t>
    <phoneticPr fontId="1" type="noConversion"/>
  </si>
  <si>
    <t>우라늄광
또는
토륨광과 
그 정광</t>
    <phoneticPr fontId="1" type="noConversion"/>
  </si>
  <si>
    <t>몰리브덴광
과
그 정광</t>
    <phoneticPr fontId="1" type="noConversion"/>
  </si>
  <si>
    <t>티타늄광
과
그 정광</t>
    <phoneticPr fontId="1" type="noConversion"/>
  </si>
  <si>
    <t>기타의 광
과
그 정광</t>
    <phoneticPr fontId="1" type="noConversion"/>
  </si>
  <si>
    <t>2010년</t>
    <phoneticPr fontId="1" type="noConversion"/>
  </si>
  <si>
    <t>2805.30.2000</t>
    <phoneticPr fontId="1" type="noConversion"/>
  </si>
  <si>
    <t>2805.30.4000</t>
    <phoneticPr fontId="1" type="noConversion"/>
  </si>
  <si>
    <t>2819.90.10</t>
    <phoneticPr fontId="1" type="noConversion"/>
  </si>
  <si>
    <t>2822.00.10</t>
    <phoneticPr fontId="1" type="noConversion"/>
  </si>
  <si>
    <t>2825.70.1000</t>
    <phoneticPr fontId="1" type="noConversion"/>
  </si>
  <si>
    <t>2825.80.0000</t>
    <phoneticPr fontId="3" type="noConversion"/>
  </si>
  <si>
    <t>2825.90.1020</t>
    <phoneticPr fontId="1" type="noConversion"/>
  </si>
  <si>
    <t>2825.90.1030</t>
    <phoneticPr fontId="1" type="noConversion"/>
  </si>
  <si>
    <t>2825.90.1090</t>
    <phoneticPr fontId="1" type="noConversion"/>
  </si>
  <si>
    <t>희토류금속</t>
    <phoneticPr fontId="1" type="noConversion"/>
  </si>
  <si>
    <t>세륨그룹</t>
    <phoneticPr fontId="1" type="noConversion"/>
  </si>
  <si>
    <t>테르븀그룹</t>
    <phoneticPr fontId="1" type="noConversion"/>
  </si>
  <si>
    <t>에르븀그룹</t>
    <phoneticPr fontId="1" type="noConversion"/>
  </si>
  <si>
    <t>이트륨</t>
    <phoneticPr fontId="1" type="noConversion"/>
  </si>
  <si>
    <t>스칸듐</t>
    <phoneticPr fontId="1" type="noConversion"/>
  </si>
  <si>
    <t>기타</t>
    <phoneticPr fontId="1" type="noConversion"/>
  </si>
  <si>
    <t>산화아연</t>
    <phoneticPr fontId="1" type="noConversion"/>
  </si>
  <si>
    <t>산화알루미늄</t>
    <phoneticPr fontId="1" type="noConversion"/>
  </si>
  <si>
    <t>산화크로뮴</t>
    <phoneticPr fontId="1" type="noConversion"/>
  </si>
  <si>
    <t>산화망간</t>
    <phoneticPr fontId="1" type="noConversion"/>
  </si>
  <si>
    <t>산화코발트</t>
    <phoneticPr fontId="1" type="noConversion"/>
  </si>
  <si>
    <t>산화티타늄</t>
    <phoneticPr fontId="1" type="noConversion"/>
  </si>
  <si>
    <t>산화연.연단 및 오렌지연</t>
    <phoneticPr fontId="1" type="noConversion"/>
  </si>
  <si>
    <t>산화리튬</t>
    <phoneticPr fontId="1" type="noConversion"/>
  </si>
  <si>
    <t>산화바나듐, 수산화바나듐</t>
    <phoneticPr fontId="1" type="noConversion"/>
  </si>
  <si>
    <t>산화니켈</t>
    <phoneticPr fontId="1" type="noConversion"/>
  </si>
  <si>
    <t>산화구리</t>
    <phoneticPr fontId="3" type="noConversion"/>
  </si>
  <si>
    <t>산화게르마늄</t>
    <phoneticPr fontId="1" type="noConversion"/>
  </si>
  <si>
    <t>산화몰리브덴</t>
    <phoneticPr fontId="1" type="noConversion"/>
  </si>
  <si>
    <t>산화안티모니</t>
    <phoneticPr fontId="1" type="noConversion"/>
  </si>
  <si>
    <t>산화텅스텐</t>
    <phoneticPr fontId="1" type="noConversion"/>
  </si>
  <si>
    <t>산화석</t>
    <phoneticPr fontId="1" type="noConversion"/>
  </si>
  <si>
    <t>금액</t>
    <phoneticPr fontId="3" type="noConversion"/>
  </si>
  <si>
    <t>단가</t>
    <phoneticPr fontId="3" type="noConversion"/>
  </si>
  <si>
    <t>희토류금속</t>
    <phoneticPr fontId="1" type="noConversion"/>
  </si>
  <si>
    <t>세륨그룹</t>
    <phoneticPr fontId="1" type="noConversion"/>
  </si>
  <si>
    <t>테르븀그룹</t>
    <phoneticPr fontId="1" type="noConversion"/>
  </si>
  <si>
    <t>에르븀그룹</t>
    <phoneticPr fontId="1" type="noConversion"/>
  </si>
  <si>
    <t>이트륨</t>
    <phoneticPr fontId="1" type="noConversion"/>
  </si>
  <si>
    <t>스칸듐</t>
    <phoneticPr fontId="1" type="noConversion"/>
  </si>
  <si>
    <t>기타</t>
    <phoneticPr fontId="1" type="noConversion"/>
  </si>
  <si>
    <t>산화아연</t>
    <phoneticPr fontId="1" type="noConversion"/>
  </si>
  <si>
    <t>산화알루미늄</t>
    <phoneticPr fontId="1" type="noConversion"/>
  </si>
  <si>
    <t>산화크로뮴</t>
    <phoneticPr fontId="1" type="noConversion"/>
  </si>
  <si>
    <t>산화망간</t>
    <phoneticPr fontId="1" type="noConversion"/>
  </si>
  <si>
    <t>산화코발트</t>
    <phoneticPr fontId="1" type="noConversion"/>
  </si>
  <si>
    <t>산화티타늄</t>
    <phoneticPr fontId="1" type="noConversion"/>
  </si>
  <si>
    <t>산화연.연단 및 오렌지연</t>
    <phoneticPr fontId="1" type="noConversion"/>
  </si>
  <si>
    <t>산화리튬</t>
    <phoneticPr fontId="1" type="noConversion"/>
  </si>
  <si>
    <t>산화바나듐, 수산화바나듐</t>
    <phoneticPr fontId="1" type="noConversion"/>
  </si>
  <si>
    <t>산화니켈</t>
    <phoneticPr fontId="1" type="noConversion"/>
  </si>
  <si>
    <t>산화구리</t>
    <phoneticPr fontId="3" type="noConversion"/>
  </si>
  <si>
    <t>산화게르마늄</t>
    <phoneticPr fontId="1" type="noConversion"/>
  </si>
  <si>
    <t>산화몰리브덴</t>
    <phoneticPr fontId="1" type="noConversion"/>
  </si>
  <si>
    <t>산화텅스텐</t>
    <phoneticPr fontId="1" type="noConversion"/>
  </si>
  <si>
    <t>산화석</t>
    <phoneticPr fontId="1" type="noConversion"/>
  </si>
  <si>
    <t>811212
811213
811219</t>
    <phoneticPr fontId="3" type="noConversion"/>
  </si>
  <si>
    <t>811221
811222
811229</t>
    <phoneticPr fontId="2" type="noConversion"/>
  </si>
  <si>
    <t>8112921000
8112991000</t>
    <phoneticPr fontId="2" type="noConversion"/>
  </si>
  <si>
    <t>8112922000
8112992000</t>
    <phoneticPr fontId="2" type="noConversion"/>
  </si>
  <si>
    <t>8112925000
8112995000</t>
    <phoneticPr fontId="2" type="noConversion"/>
  </si>
  <si>
    <t>8112926000
8112996000</t>
    <phoneticPr fontId="2" type="noConversion"/>
  </si>
  <si>
    <t>8112929000
8112999000</t>
    <phoneticPr fontId="2" type="noConversion"/>
  </si>
  <si>
    <t>텅스텐</t>
    <phoneticPr fontId="2" type="noConversion"/>
  </si>
  <si>
    <t>몰리브데늄</t>
    <phoneticPr fontId="2" type="noConversion"/>
  </si>
  <si>
    <t>탄탈륨</t>
    <phoneticPr fontId="2" type="noConversion"/>
  </si>
  <si>
    <t>마그네슘</t>
    <phoneticPr fontId="2" type="noConversion"/>
  </si>
  <si>
    <t>코발트</t>
    <phoneticPr fontId="2" type="noConversion"/>
  </si>
  <si>
    <t>비스머드
(창연)</t>
    <phoneticPr fontId="2" type="noConversion"/>
  </si>
  <si>
    <t>카드뭄</t>
    <phoneticPr fontId="2" type="noConversion"/>
  </si>
  <si>
    <t>티타늄</t>
    <phoneticPr fontId="2" type="noConversion"/>
  </si>
  <si>
    <t>지르코늄</t>
    <phoneticPr fontId="2" type="noConversion"/>
  </si>
  <si>
    <t>안티모니</t>
    <phoneticPr fontId="2" type="noConversion"/>
  </si>
  <si>
    <t>망간</t>
    <phoneticPr fontId="2" type="noConversion"/>
  </si>
  <si>
    <t>베릴륨</t>
    <phoneticPr fontId="2" type="noConversion"/>
  </si>
  <si>
    <t>크로뮴</t>
    <phoneticPr fontId="2" type="noConversion"/>
  </si>
  <si>
    <t>탈륨</t>
    <phoneticPr fontId="2" type="noConversion"/>
  </si>
  <si>
    <t>게르마늄</t>
    <phoneticPr fontId="2" type="noConversion"/>
  </si>
  <si>
    <t>바나듐</t>
    <phoneticPr fontId="2" type="noConversion"/>
  </si>
  <si>
    <t>갈륨</t>
    <phoneticPr fontId="2" type="noConversion"/>
  </si>
  <si>
    <t>하프늄</t>
    <phoneticPr fontId="3" type="noConversion"/>
  </si>
  <si>
    <t>인듐</t>
    <phoneticPr fontId="2" type="noConversion"/>
  </si>
  <si>
    <t>니오븀
(컬럼븀)</t>
    <phoneticPr fontId="2" type="noConversion"/>
  </si>
  <si>
    <t>레늄</t>
    <phoneticPr fontId="2" type="noConversion"/>
  </si>
  <si>
    <t>서메트와
그 제품</t>
    <phoneticPr fontId="3" type="noConversion"/>
  </si>
  <si>
    <t>2011년</t>
    <phoneticPr fontId="1" type="noConversion"/>
  </si>
  <si>
    <t>2012년</t>
    <phoneticPr fontId="1" type="noConversion"/>
  </si>
  <si>
    <t>텅스텐</t>
    <phoneticPr fontId="2" type="noConversion"/>
  </si>
  <si>
    <t>몰리브데늄</t>
    <phoneticPr fontId="2" type="noConversion"/>
  </si>
  <si>
    <t>탄탈륨</t>
    <phoneticPr fontId="2" type="noConversion"/>
  </si>
  <si>
    <t>마그네슘</t>
    <phoneticPr fontId="2" type="noConversion"/>
  </si>
  <si>
    <t>코발트</t>
    <phoneticPr fontId="2" type="noConversion"/>
  </si>
  <si>
    <t>비스머드
(창연)</t>
    <phoneticPr fontId="2" type="noConversion"/>
  </si>
  <si>
    <t>카드뭄</t>
    <phoneticPr fontId="2" type="noConversion"/>
  </si>
  <si>
    <t>티타늄</t>
    <phoneticPr fontId="2" type="noConversion"/>
  </si>
  <si>
    <t>지르코늄</t>
    <phoneticPr fontId="2" type="noConversion"/>
  </si>
  <si>
    <t>안티모니</t>
    <phoneticPr fontId="2" type="noConversion"/>
  </si>
  <si>
    <t>망간</t>
    <phoneticPr fontId="2" type="noConversion"/>
  </si>
  <si>
    <t>베릴륨</t>
    <phoneticPr fontId="2" type="noConversion"/>
  </si>
  <si>
    <t>크로뮴</t>
    <phoneticPr fontId="2" type="noConversion"/>
  </si>
  <si>
    <t>탈륨</t>
    <phoneticPr fontId="2" type="noConversion"/>
  </si>
  <si>
    <t>게르마늄</t>
    <phoneticPr fontId="2" type="noConversion"/>
  </si>
  <si>
    <t>바나듐</t>
    <phoneticPr fontId="2" type="noConversion"/>
  </si>
  <si>
    <t>갈륨</t>
    <phoneticPr fontId="2" type="noConversion"/>
  </si>
  <si>
    <t>하프늄</t>
    <phoneticPr fontId="3" type="noConversion"/>
  </si>
  <si>
    <t>인듐</t>
    <phoneticPr fontId="2" type="noConversion"/>
  </si>
  <si>
    <t>니오븀
(컬럼븀)</t>
    <phoneticPr fontId="2" type="noConversion"/>
  </si>
  <si>
    <t>레늄</t>
    <phoneticPr fontId="2" type="noConversion"/>
  </si>
  <si>
    <t>서메트와
그 제품</t>
    <phoneticPr fontId="3" type="noConversion"/>
  </si>
  <si>
    <t>2015년</t>
    <phoneticPr fontId="6" type="noConversion"/>
  </si>
  <si>
    <t>2016년</t>
  </si>
  <si>
    <t>2016년</t>
    <phoneticPr fontId="6" type="noConversion"/>
  </si>
  <si>
    <t>2015년</t>
    <phoneticPr fontId="1" type="noConversion"/>
  </si>
  <si>
    <t>2823.00.</t>
    <phoneticPr fontId="1" type="noConversion"/>
  </si>
  <si>
    <t>3 월</t>
    <phoneticPr fontId="6" type="noConversion"/>
  </si>
  <si>
    <t>1 ~ 3 월</t>
    <phoneticPr fontId="6" type="noConversion"/>
  </si>
  <si>
    <t>3 월</t>
    <phoneticPr fontId="1" type="noConversion"/>
  </si>
  <si>
    <t>1 ~ 3 월</t>
    <phoneticPr fontId="1" type="noConversion"/>
  </si>
  <si>
    <t>4 월</t>
    <phoneticPr fontId="6" type="noConversion"/>
  </si>
  <si>
    <t>1 ~ 4 월</t>
    <phoneticPr fontId="6" type="noConversion"/>
  </si>
  <si>
    <t>4 월</t>
    <phoneticPr fontId="6" type="noConversion"/>
  </si>
  <si>
    <t>1 ~ 4 월</t>
    <phoneticPr fontId="6" type="noConversion"/>
  </si>
  <si>
    <t>4 월</t>
    <phoneticPr fontId="1" type="noConversion"/>
  </si>
  <si>
    <t>1 ~ 4 월</t>
    <phoneticPr fontId="1" type="noConversion"/>
  </si>
  <si>
    <t>5 월</t>
    <phoneticPr fontId="6" type="noConversion"/>
  </si>
  <si>
    <t>1 ~ 5 월</t>
    <phoneticPr fontId="6" type="noConversion"/>
  </si>
  <si>
    <t>5 월</t>
    <phoneticPr fontId="1" type="noConversion"/>
  </si>
  <si>
    <t>1 ~ 5 월</t>
    <phoneticPr fontId="1" type="noConversion"/>
  </si>
  <si>
    <t>6 월</t>
    <phoneticPr fontId="6" type="noConversion"/>
  </si>
  <si>
    <t>1 ~ 6 월</t>
    <phoneticPr fontId="6" type="noConversion"/>
  </si>
  <si>
    <t>6 월</t>
    <phoneticPr fontId="1" type="noConversion"/>
  </si>
  <si>
    <t>1 ~ 6 월</t>
    <phoneticPr fontId="1" type="noConversion"/>
  </si>
  <si>
    <t>7 월</t>
    <phoneticPr fontId="6" type="noConversion"/>
  </si>
  <si>
    <t>1 ~ 7 월</t>
    <phoneticPr fontId="6" type="noConversion"/>
  </si>
  <si>
    <t>7 월</t>
    <phoneticPr fontId="1" type="noConversion"/>
  </si>
  <si>
    <t>1 ~ 7 월</t>
    <phoneticPr fontId="1" type="noConversion"/>
  </si>
  <si>
    <t>8 월</t>
    <phoneticPr fontId="6" type="noConversion"/>
  </si>
  <si>
    <t>1 ~ 8 월</t>
    <phoneticPr fontId="6" type="noConversion"/>
  </si>
  <si>
    <t>2015년</t>
    <phoneticPr fontId="6" type="noConversion"/>
  </si>
  <si>
    <t>8 월</t>
    <phoneticPr fontId="1" type="noConversion"/>
  </si>
  <si>
    <t>1 ~ 8 월</t>
    <phoneticPr fontId="1" type="noConversion"/>
  </si>
  <si>
    <t>9 월</t>
    <phoneticPr fontId="6" type="noConversion"/>
  </si>
  <si>
    <t>1 ~ 9 월</t>
    <phoneticPr fontId="6" type="noConversion"/>
  </si>
  <si>
    <t>9 월</t>
    <phoneticPr fontId="1" type="noConversion"/>
  </si>
  <si>
    <t>1 ~ 9 월</t>
    <phoneticPr fontId="1" type="noConversion"/>
  </si>
  <si>
    <t>10 월</t>
    <phoneticPr fontId="6" type="noConversion"/>
  </si>
  <si>
    <t>1 ~ 10 월</t>
    <phoneticPr fontId="6" type="noConversion"/>
  </si>
  <si>
    <t>10 월</t>
    <phoneticPr fontId="1" type="noConversion"/>
  </si>
  <si>
    <t>1 ~ 10 월</t>
    <phoneticPr fontId="1" type="noConversion"/>
  </si>
  <si>
    <t>11 월</t>
    <phoneticPr fontId="6" type="noConversion"/>
  </si>
  <si>
    <t>1 ~ 11 월</t>
    <phoneticPr fontId="6" type="noConversion"/>
  </si>
  <si>
    <t>11 월</t>
    <phoneticPr fontId="1" type="noConversion"/>
  </si>
  <si>
    <t>1 ~ 11 월</t>
    <phoneticPr fontId="1" type="noConversion"/>
  </si>
  <si>
    <t>12 월</t>
    <phoneticPr fontId="1" type="noConversion"/>
  </si>
  <si>
    <t>1 ~ 12 월</t>
    <phoneticPr fontId="1" type="noConversion"/>
  </si>
  <si>
    <t>12 월</t>
    <phoneticPr fontId="6" type="noConversion"/>
  </si>
  <si>
    <t>1 ~ 12 월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</si>
</sst>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.0_ "/>
    <numFmt numFmtId="177" formatCode="_-* #,##0.0_-;\-* #,##0.0_-;_-* &quot;-&quot;_-;_-@_-"/>
    <numFmt numFmtId="178" formatCode="_-* #,##0.0_-;\-* #,##0.0_-;_-* &quot;-&quot;?_-;_-@_-"/>
    <numFmt numFmtId="179" formatCode="0.0_);\(0.0\)"/>
    <numFmt numFmtId="180" formatCode="_-* #,##0.00_-;\-* #,##0.00_-;_-* &quot;-&quot;?_-;_-@_-"/>
    <numFmt numFmtId="181" formatCode="#,##0_ ;[Red]\-#,##0\ "/>
    <numFmt numFmtId="182" formatCode="#,##0.0_ ;[Red]\-#,##0.0\ "/>
    <numFmt numFmtId="183" formatCode="0.0_ ;[Red]\-0.0\ "/>
  </numFmts>
  <fonts count="3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color indexed="62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62"/>
      <name val="맑은 고딕"/>
      <family val="3"/>
      <charset val="129"/>
      <scheme val="minor"/>
    </font>
    <font>
      <b/>
      <sz val="14"/>
      <color theme="1"/>
      <name val="HY견명조"/>
      <family val="1"/>
      <charset val="129"/>
    </font>
    <font>
      <sz val="10"/>
      <color indexed="2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HY견명조"/>
      <family val="1"/>
      <charset val="129"/>
    </font>
    <font>
      <sz val="10"/>
      <color indexed="62"/>
      <name val="맑은 고딕"/>
      <family val="3"/>
      <charset val="129"/>
      <scheme val="minor"/>
    </font>
    <font>
      <sz val="10"/>
      <color rgb="FFFF9999"/>
      <name val="Times New Roman"/>
      <family val="1"/>
    </font>
    <font>
      <sz val="10"/>
      <color rgb="FF002060"/>
      <name val="맑은 고딕"/>
      <family val="3"/>
      <charset val="129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10"/>
      <color indexed="6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62"/>
      <name val="맑은 고딕"/>
      <family val="3"/>
      <charset val="129"/>
      <scheme val="major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41" fontId="10" fillId="0" borderId="0" xfId="1" applyFont="1">
      <alignment vertical="center"/>
    </xf>
    <xf numFmtId="41" fontId="0" fillId="0" borderId="0" xfId="1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vertical="center"/>
    </xf>
    <xf numFmtId="182" fontId="14" fillId="0" borderId="1" xfId="1" applyNumberFormat="1" applyFont="1" applyFill="1" applyBorder="1" applyAlignment="1">
      <alignment vertical="center"/>
    </xf>
    <xf numFmtId="41" fontId="14" fillId="0" borderId="14" xfId="1" applyFont="1" applyFill="1" applyBorder="1" applyAlignment="1">
      <alignment vertical="center"/>
    </xf>
    <xf numFmtId="41" fontId="14" fillId="0" borderId="4" xfId="1" applyFont="1" applyFill="1" applyBorder="1" applyAlignment="1">
      <alignment vertical="center"/>
    </xf>
    <xf numFmtId="182" fontId="14" fillId="0" borderId="4" xfId="1" applyNumberFormat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178" fontId="14" fillId="0" borderId="10" xfId="1" applyNumberFormat="1" applyFont="1" applyFill="1" applyBorder="1" applyAlignment="1">
      <alignment vertical="center"/>
    </xf>
    <xf numFmtId="182" fontId="14" fillId="0" borderId="18" xfId="1" applyNumberFormat="1" applyFont="1" applyFill="1" applyBorder="1" applyAlignment="1">
      <alignment vertical="center"/>
    </xf>
    <xf numFmtId="41" fontId="14" fillId="0" borderId="8" xfId="1" applyFont="1" applyFill="1" applyBorder="1" applyAlignment="1">
      <alignment vertical="center"/>
    </xf>
    <xf numFmtId="41" fontId="14" fillId="0" borderId="7" xfId="1" applyFont="1" applyFill="1" applyBorder="1" applyAlignment="1">
      <alignment vertical="center"/>
    </xf>
    <xf numFmtId="180" fontId="14" fillId="0" borderId="10" xfId="1" applyNumberFormat="1" applyFont="1" applyFill="1" applyBorder="1" applyAlignment="1">
      <alignment vertical="center"/>
    </xf>
    <xf numFmtId="176" fontId="14" fillId="0" borderId="20" xfId="1" applyNumberFormat="1" applyFont="1" applyFill="1" applyBorder="1" applyAlignment="1">
      <alignment vertical="center"/>
    </xf>
    <xf numFmtId="178" fontId="14" fillId="0" borderId="21" xfId="1" applyNumberFormat="1" applyFont="1" applyFill="1" applyBorder="1" applyAlignment="1">
      <alignment vertical="center"/>
    </xf>
    <xf numFmtId="182" fontId="14" fillId="0" borderId="21" xfId="1" applyNumberFormat="1" applyFont="1" applyFill="1" applyBorder="1" applyAlignment="1">
      <alignment vertical="center"/>
    </xf>
    <xf numFmtId="41" fontId="16" fillId="0" borderId="14" xfId="1" applyFont="1" applyFill="1" applyBorder="1" applyAlignment="1">
      <alignment vertical="center"/>
    </xf>
    <xf numFmtId="41" fontId="16" fillId="0" borderId="3" xfId="1" applyFont="1" applyFill="1" applyBorder="1" applyAlignment="1">
      <alignment vertical="center"/>
    </xf>
    <xf numFmtId="179" fontId="16" fillId="0" borderId="13" xfId="1" applyNumberFormat="1" applyFont="1" applyFill="1" applyBorder="1" applyAlignment="1">
      <alignment vertical="center"/>
    </xf>
    <xf numFmtId="182" fontId="16" fillId="0" borderId="13" xfId="1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vertical="center"/>
    </xf>
    <xf numFmtId="178" fontId="14" fillId="0" borderId="18" xfId="1" applyNumberFormat="1" applyFont="1" applyFill="1" applyBorder="1" applyAlignment="1">
      <alignment vertical="center"/>
    </xf>
    <xf numFmtId="181" fontId="16" fillId="0" borderId="14" xfId="1" applyNumberFormat="1" applyFont="1" applyFill="1" applyBorder="1" applyAlignment="1">
      <alignment vertical="center"/>
    </xf>
    <xf numFmtId="181" fontId="16" fillId="0" borderId="3" xfId="1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83" fontId="14" fillId="0" borderId="1" xfId="1" applyNumberFormat="1" applyFont="1" applyFill="1" applyBorder="1" applyAlignment="1">
      <alignment vertical="center"/>
    </xf>
    <xf numFmtId="183" fontId="14" fillId="0" borderId="4" xfId="1" applyNumberFormat="1" applyFont="1" applyFill="1" applyBorder="1" applyAlignment="1">
      <alignment vertical="center"/>
    </xf>
    <xf numFmtId="176" fontId="14" fillId="0" borderId="10" xfId="1" applyNumberFormat="1" applyFont="1" applyFill="1" applyBorder="1" applyAlignment="1">
      <alignment vertical="center"/>
    </xf>
    <xf numFmtId="183" fontId="14" fillId="0" borderId="17" xfId="1" applyNumberFormat="1" applyFont="1" applyFill="1" applyBorder="1" applyAlignment="1">
      <alignment vertical="center"/>
    </xf>
    <xf numFmtId="182" fontId="14" fillId="0" borderId="17" xfId="1" applyNumberFormat="1" applyFont="1" applyFill="1" applyBorder="1" applyAlignment="1">
      <alignment vertical="center"/>
    </xf>
    <xf numFmtId="183" fontId="14" fillId="0" borderId="7" xfId="1" applyNumberFormat="1" applyFont="1" applyFill="1" applyBorder="1" applyAlignment="1">
      <alignment vertical="center"/>
    </xf>
    <xf numFmtId="182" fontId="14" fillId="0" borderId="7" xfId="1" applyNumberFormat="1" applyFont="1" applyFill="1" applyBorder="1" applyAlignment="1">
      <alignment vertical="center"/>
    </xf>
    <xf numFmtId="183" fontId="14" fillId="0" borderId="2" xfId="1" applyNumberFormat="1" applyFont="1" applyFill="1" applyBorder="1" applyAlignment="1">
      <alignment vertical="center"/>
    </xf>
    <xf numFmtId="182" fontId="14" fillId="0" borderId="2" xfId="1" applyNumberFormat="1" applyFont="1" applyFill="1" applyBorder="1" applyAlignment="1">
      <alignment vertical="center"/>
    </xf>
    <xf numFmtId="176" fontId="14" fillId="0" borderId="13" xfId="1" applyNumberFormat="1" applyFont="1" applyFill="1" applyBorder="1" applyAlignment="1">
      <alignment vertical="center"/>
    </xf>
    <xf numFmtId="178" fontId="14" fillId="0" borderId="16" xfId="1" applyNumberFormat="1" applyFont="1" applyFill="1" applyBorder="1" applyAlignment="1">
      <alignment vertical="center"/>
    </xf>
    <xf numFmtId="183" fontId="14" fillId="0" borderId="13" xfId="1" applyNumberFormat="1" applyFont="1" applyFill="1" applyBorder="1" applyAlignment="1">
      <alignment vertical="center"/>
    </xf>
    <xf numFmtId="182" fontId="14" fillId="0" borderId="13" xfId="1" applyNumberFormat="1" applyFont="1" applyFill="1" applyBorder="1" applyAlignment="1">
      <alignment vertical="center"/>
    </xf>
    <xf numFmtId="183" fontId="14" fillId="0" borderId="21" xfId="1" applyNumberFormat="1" applyFont="1" applyFill="1" applyBorder="1" applyAlignment="1">
      <alignment vertical="center"/>
    </xf>
    <xf numFmtId="183" fontId="16" fillId="0" borderId="1" xfId="1" applyNumberFormat="1" applyFont="1" applyFill="1" applyBorder="1" applyAlignment="1">
      <alignment vertical="center"/>
    </xf>
    <xf numFmtId="182" fontId="16" fillId="0" borderId="1" xfId="1" applyNumberFormat="1" applyFont="1" applyFill="1" applyBorder="1" applyAlignment="1">
      <alignment vertical="center"/>
    </xf>
    <xf numFmtId="183" fontId="16" fillId="0" borderId="4" xfId="1" applyNumberFormat="1" applyFont="1" applyFill="1" applyBorder="1" applyAlignment="1">
      <alignment vertical="center"/>
    </xf>
    <xf numFmtId="182" fontId="16" fillId="0" borderId="4" xfId="1" applyNumberFormat="1" applyFont="1" applyFill="1" applyBorder="1" applyAlignment="1">
      <alignment vertical="center"/>
    </xf>
    <xf numFmtId="183" fontId="16" fillId="0" borderId="13" xfId="1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vertical="center"/>
    </xf>
    <xf numFmtId="177" fontId="14" fillId="0" borderId="5" xfId="1" applyNumberFormat="1" applyFont="1" applyFill="1" applyBorder="1" applyAlignment="1">
      <alignment vertical="center"/>
    </xf>
    <xf numFmtId="182" fontId="14" fillId="0" borderId="5" xfId="1" applyNumberFormat="1" applyFont="1" applyFill="1" applyBorder="1" applyAlignment="1">
      <alignment vertical="center"/>
    </xf>
    <xf numFmtId="41" fontId="14" fillId="0" borderId="6" xfId="1" applyFont="1" applyFill="1" applyBorder="1" applyAlignment="1">
      <alignment vertical="center"/>
    </xf>
    <xf numFmtId="182" fontId="23" fillId="0" borderId="1" xfId="1" applyNumberFormat="1" applyFont="1" applyFill="1" applyBorder="1" applyAlignment="1">
      <alignment vertical="center"/>
    </xf>
    <xf numFmtId="182" fontId="23" fillId="0" borderId="4" xfId="1" applyNumberFormat="1" applyFont="1" applyFill="1" applyBorder="1" applyAlignment="1">
      <alignment vertical="center"/>
    </xf>
    <xf numFmtId="41" fontId="14" fillId="2" borderId="4" xfId="1" applyFont="1" applyFill="1" applyBorder="1" applyAlignment="1">
      <alignment vertical="center"/>
    </xf>
    <xf numFmtId="41" fontId="14" fillId="0" borderId="22" xfId="1" applyFont="1" applyFill="1" applyBorder="1" applyAlignment="1">
      <alignment vertical="center"/>
    </xf>
    <xf numFmtId="182" fontId="14" fillId="0" borderId="22" xfId="1" applyNumberFormat="1" applyFont="1" applyFill="1" applyBorder="1" applyAlignment="1">
      <alignment vertical="center"/>
    </xf>
    <xf numFmtId="177" fontId="14" fillId="0" borderId="19" xfId="1" applyNumberFormat="1" applyFont="1" applyFill="1" applyBorder="1" applyAlignment="1">
      <alignment vertical="center"/>
    </xf>
    <xf numFmtId="182" fontId="14" fillId="0" borderId="19" xfId="1" applyNumberFormat="1" applyFont="1" applyFill="1" applyBorder="1" applyAlignment="1">
      <alignment vertical="center"/>
    </xf>
    <xf numFmtId="41" fontId="16" fillId="0" borderId="1" xfId="1" applyFont="1" applyFill="1" applyBorder="1" applyAlignment="1">
      <alignment vertical="center"/>
    </xf>
    <xf numFmtId="177" fontId="16" fillId="0" borderId="5" xfId="1" applyNumberFormat="1" applyFont="1" applyFill="1" applyBorder="1" applyAlignment="1">
      <alignment horizontal="center" vertical="center"/>
    </xf>
    <xf numFmtId="177" fontId="16" fillId="0" borderId="5" xfId="1" applyNumberFormat="1" applyFont="1" applyFill="1" applyBorder="1" applyAlignment="1">
      <alignment vertical="center"/>
    </xf>
    <xf numFmtId="182" fontId="16" fillId="0" borderId="5" xfId="1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41" fontId="24" fillId="0" borderId="0" xfId="1" applyFo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77" fontId="27" fillId="0" borderId="5" xfId="1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177" fontId="27" fillId="0" borderId="19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177" fontId="28" fillId="0" borderId="5" xfId="1" applyNumberFormat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41" fontId="15" fillId="0" borderId="0" xfId="1" applyFont="1">
      <alignment vertical="center"/>
    </xf>
    <xf numFmtId="41" fontId="15" fillId="0" borderId="0" xfId="0" applyNumberFormat="1" applyFont="1">
      <alignment vertical="center"/>
    </xf>
    <xf numFmtId="177" fontId="18" fillId="0" borderId="5" xfId="1" applyNumberFormat="1" applyFont="1" applyFill="1" applyBorder="1" applyAlignment="1">
      <alignment horizontal="center" vertical="center"/>
    </xf>
    <xf numFmtId="182" fontId="0" fillId="0" borderId="0" xfId="1" applyNumberFormat="1" applyFont="1">
      <alignment vertical="center"/>
    </xf>
    <xf numFmtId="182" fontId="0" fillId="0" borderId="0" xfId="0" applyNumberFormat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41" fontId="24" fillId="0" borderId="0" xfId="0" applyNumberFormat="1" applyFont="1">
      <alignment vertical="center"/>
    </xf>
    <xf numFmtId="41" fontId="0" fillId="0" borderId="0" xfId="0" applyNumberFormat="1" applyFill="1">
      <alignment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26" fillId="0" borderId="30" xfId="0" applyFont="1" applyFill="1" applyBorder="1" applyAlignment="1">
      <alignment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54"/>
  <sheetViews>
    <sheetView tabSelected="1" zoomScaleNormal="100" workbookViewId="0">
      <pane xSplit="3" ySplit="5" topLeftCell="J6" activePane="bottomRight" state="frozen"/>
      <selection pane="topRight" activeCell="D1" sqref="D1"/>
      <selection pane="bottomLeft" activeCell="A6" sqref="A6"/>
      <selection pane="bottomRight" sqref="A1:C2"/>
    </sheetView>
  </sheetViews>
  <sheetFormatPr defaultRowHeight="16.5"/>
  <cols>
    <col min="1" max="1" width="11.75" customWidth="1"/>
    <col min="2" max="3" width="8.625" customWidth="1"/>
    <col min="4" max="6" width="14.125" hidden="1" customWidth="1"/>
    <col min="7" max="9" width="16" hidden="1" customWidth="1"/>
    <col min="10" max="10" width="16" customWidth="1"/>
    <col min="11" max="12" width="13.625" hidden="1" customWidth="1"/>
    <col min="13" max="13" width="9.625" hidden="1" customWidth="1"/>
    <col min="14" max="15" width="13.625" hidden="1" customWidth="1"/>
    <col min="16" max="16" width="9" hidden="1" customWidth="1"/>
    <col min="17" max="18" width="13.625" hidden="1" customWidth="1"/>
    <col min="19" max="19" width="9" hidden="1" customWidth="1"/>
    <col min="20" max="21" width="13.625" hidden="1" customWidth="1"/>
    <col min="22" max="22" width="9" hidden="1" customWidth="1"/>
    <col min="23" max="24" width="13.625" hidden="1" customWidth="1"/>
    <col min="25" max="25" width="9" hidden="1" customWidth="1"/>
    <col min="26" max="27" width="13.625" hidden="1" customWidth="1"/>
    <col min="28" max="28" width="9" hidden="1" customWidth="1"/>
    <col min="29" max="30" width="13.625" hidden="1" customWidth="1"/>
    <col min="31" max="31" width="9" hidden="1" customWidth="1"/>
    <col min="32" max="33" width="13.625" hidden="1" customWidth="1"/>
    <col min="34" max="34" width="9" hidden="1" customWidth="1"/>
    <col min="35" max="36" width="13.625" hidden="1" customWidth="1"/>
    <col min="37" max="37" width="9" hidden="1" customWidth="1"/>
    <col min="38" max="39" width="13.625" hidden="1" customWidth="1"/>
    <col min="40" max="40" width="9" hidden="1" customWidth="1"/>
    <col min="41" max="42" width="13.625" hidden="1" customWidth="1"/>
    <col min="43" max="43" width="9" hidden="1" customWidth="1"/>
    <col min="44" max="45" width="13.625" hidden="1" customWidth="1"/>
    <col min="46" max="46" width="9" hidden="1" customWidth="1"/>
    <col min="47" max="48" width="13.625" hidden="1" customWidth="1"/>
    <col min="49" max="49" width="9" hidden="1" customWidth="1"/>
    <col min="50" max="51" width="13.625" hidden="1" customWidth="1"/>
    <col min="52" max="52" width="9" hidden="1" customWidth="1"/>
    <col min="53" max="54" width="13.625" hidden="1" customWidth="1"/>
    <col min="55" max="55" width="9" hidden="1" customWidth="1"/>
    <col min="56" max="57" width="13.625" hidden="1" customWidth="1"/>
    <col min="58" max="58" width="9" hidden="1" customWidth="1"/>
    <col min="59" max="60" width="13.625" hidden="1" customWidth="1"/>
    <col min="61" max="61" width="9" hidden="1" customWidth="1"/>
    <col min="62" max="63" width="13.625" hidden="1" customWidth="1"/>
    <col min="64" max="64" width="9" hidden="1" customWidth="1"/>
    <col min="65" max="66" width="13.625" hidden="1" customWidth="1"/>
    <col min="67" max="67" width="9" hidden="1" customWidth="1"/>
    <col min="68" max="69" width="13.625" hidden="1" customWidth="1"/>
    <col min="70" max="70" width="9" hidden="1" customWidth="1"/>
    <col min="71" max="72" width="13.625" hidden="1" customWidth="1"/>
    <col min="73" max="73" width="9" hidden="1" customWidth="1"/>
    <col min="74" max="75" width="13.625" customWidth="1"/>
    <col min="76" max="76" width="9" customWidth="1"/>
    <col min="77" max="78" width="13.625" customWidth="1"/>
    <col min="79" max="79" width="9" customWidth="1"/>
  </cols>
  <sheetData>
    <row r="1" spans="1:79">
      <c r="A1" s="138" t="s">
        <v>44</v>
      </c>
      <c r="B1" s="139"/>
      <c r="C1" s="140"/>
    </row>
    <row r="2" spans="1:79" ht="17.25" thickBot="1">
      <c r="A2" s="141"/>
      <c r="B2" s="142"/>
      <c r="C2" s="143"/>
    </row>
    <row r="3" spans="1:79">
      <c r="B3" s="144" t="s">
        <v>24</v>
      </c>
      <c r="C3" s="144"/>
    </row>
    <row r="4" spans="1:79" s="3" customFormat="1">
      <c r="A4" s="145"/>
      <c r="B4" s="146"/>
      <c r="C4" s="147"/>
      <c r="D4" s="112" t="s">
        <v>0</v>
      </c>
      <c r="E4" s="112" t="s">
        <v>1</v>
      </c>
      <c r="F4" s="112" t="s">
        <v>55</v>
      </c>
      <c r="G4" s="112" t="s">
        <v>56</v>
      </c>
      <c r="H4" s="112" t="s">
        <v>57</v>
      </c>
      <c r="I4" s="112" t="s">
        <v>41</v>
      </c>
      <c r="J4" s="112" t="s">
        <v>54</v>
      </c>
      <c r="K4" s="110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186</v>
      </c>
      <c r="U4" s="110"/>
      <c r="V4" s="111"/>
      <c r="W4" s="109" t="s">
        <v>187</v>
      </c>
      <c r="X4" s="110"/>
      <c r="Y4" s="111"/>
      <c r="Z4" s="109" t="s">
        <v>190</v>
      </c>
      <c r="AA4" s="110"/>
      <c r="AB4" s="111"/>
      <c r="AC4" s="109" t="s">
        <v>191</v>
      </c>
      <c r="AD4" s="110"/>
      <c r="AE4" s="111"/>
      <c r="AF4" s="109" t="s">
        <v>196</v>
      </c>
      <c r="AG4" s="110"/>
      <c r="AH4" s="111"/>
      <c r="AI4" s="109" t="s">
        <v>197</v>
      </c>
      <c r="AJ4" s="110"/>
      <c r="AK4" s="111"/>
      <c r="AL4" s="109" t="s">
        <v>200</v>
      </c>
      <c r="AM4" s="110"/>
      <c r="AN4" s="111"/>
      <c r="AO4" s="109" t="s">
        <v>201</v>
      </c>
      <c r="AP4" s="110"/>
      <c r="AQ4" s="111"/>
      <c r="AR4" s="109" t="s">
        <v>204</v>
      </c>
      <c r="AS4" s="110"/>
      <c r="AT4" s="111"/>
      <c r="AU4" s="109" t="s">
        <v>205</v>
      </c>
      <c r="AV4" s="110"/>
      <c r="AW4" s="111"/>
      <c r="AX4" s="109" t="s">
        <v>208</v>
      </c>
      <c r="AY4" s="110"/>
      <c r="AZ4" s="111"/>
      <c r="BA4" s="109" t="s">
        <v>209</v>
      </c>
      <c r="BB4" s="110"/>
      <c r="BC4" s="111"/>
      <c r="BD4" s="109" t="s">
        <v>213</v>
      </c>
      <c r="BE4" s="110"/>
      <c r="BF4" s="111"/>
      <c r="BG4" s="109" t="s">
        <v>214</v>
      </c>
      <c r="BH4" s="110"/>
      <c r="BI4" s="111"/>
      <c r="BJ4" s="109" t="s">
        <v>217</v>
      </c>
      <c r="BK4" s="110"/>
      <c r="BL4" s="111"/>
      <c r="BM4" s="109" t="s">
        <v>218</v>
      </c>
      <c r="BN4" s="110"/>
      <c r="BO4" s="111"/>
      <c r="BP4" s="109" t="s">
        <v>221</v>
      </c>
      <c r="BQ4" s="110"/>
      <c r="BR4" s="111"/>
      <c r="BS4" s="109" t="s">
        <v>222</v>
      </c>
      <c r="BT4" s="110"/>
      <c r="BU4" s="111"/>
      <c r="BV4" s="109" t="s">
        <v>227</v>
      </c>
      <c r="BW4" s="110"/>
      <c r="BX4" s="111"/>
      <c r="BY4" s="109" t="s">
        <v>228</v>
      </c>
      <c r="BZ4" s="110"/>
      <c r="CA4" s="111"/>
    </row>
    <row r="5" spans="1:79" s="3" customFormat="1" ht="17.25" thickBot="1">
      <c r="A5" s="148"/>
      <c r="B5" s="149"/>
      <c r="C5" s="150"/>
      <c r="D5" s="113"/>
      <c r="E5" s="113"/>
      <c r="F5" s="113"/>
      <c r="G5" s="113"/>
      <c r="H5" s="113"/>
      <c r="I5" s="113"/>
      <c r="J5" s="113"/>
      <c r="K5" s="36" t="s">
        <v>181</v>
      </c>
      <c r="L5" s="36" t="s">
        <v>183</v>
      </c>
      <c r="M5" s="36" t="s">
        <v>5</v>
      </c>
      <c r="N5" s="36" t="s">
        <v>181</v>
      </c>
      <c r="O5" s="36" t="s">
        <v>183</v>
      </c>
      <c r="P5" s="36" t="s">
        <v>5</v>
      </c>
      <c r="Q5" s="36" t="s">
        <v>181</v>
      </c>
      <c r="R5" s="36" t="s">
        <v>183</v>
      </c>
      <c r="S5" s="36" t="s">
        <v>5</v>
      </c>
      <c r="T5" s="36" t="s">
        <v>181</v>
      </c>
      <c r="U5" s="36" t="s">
        <v>183</v>
      </c>
      <c r="V5" s="36" t="s">
        <v>5</v>
      </c>
      <c r="W5" s="36" t="s">
        <v>181</v>
      </c>
      <c r="X5" s="36" t="s">
        <v>183</v>
      </c>
      <c r="Y5" s="36" t="s">
        <v>5</v>
      </c>
      <c r="Z5" s="36" t="s">
        <v>181</v>
      </c>
      <c r="AA5" s="36" t="s">
        <v>183</v>
      </c>
      <c r="AB5" s="36" t="s">
        <v>5</v>
      </c>
      <c r="AC5" s="36" t="s">
        <v>181</v>
      </c>
      <c r="AD5" s="36" t="s">
        <v>183</v>
      </c>
      <c r="AE5" s="36" t="s">
        <v>5</v>
      </c>
      <c r="AF5" s="36" t="s">
        <v>54</v>
      </c>
      <c r="AG5" s="36" t="s">
        <v>183</v>
      </c>
      <c r="AH5" s="36" t="s">
        <v>5</v>
      </c>
      <c r="AI5" s="36" t="s">
        <v>54</v>
      </c>
      <c r="AJ5" s="36" t="s">
        <v>183</v>
      </c>
      <c r="AK5" s="36" t="s">
        <v>5</v>
      </c>
      <c r="AL5" s="36" t="s">
        <v>54</v>
      </c>
      <c r="AM5" s="36" t="s">
        <v>183</v>
      </c>
      <c r="AN5" s="36" t="s">
        <v>5</v>
      </c>
      <c r="AO5" s="36" t="s">
        <v>54</v>
      </c>
      <c r="AP5" s="36" t="s">
        <v>183</v>
      </c>
      <c r="AQ5" s="36" t="s">
        <v>5</v>
      </c>
      <c r="AR5" s="36" t="s">
        <v>54</v>
      </c>
      <c r="AS5" s="36" t="s">
        <v>183</v>
      </c>
      <c r="AT5" s="36" t="s">
        <v>5</v>
      </c>
      <c r="AU5" s="36" t="s">
        <v>54</v>
      </c>
      <c r="AV5" s="36" t="s">
        <v>183</v>
      </c>
      <c r="AW5" s="36" t="s">
        <v>5</v>
      </c>
      <c r="AX5" s="36" t="s">
        <v>54</v>
      </c>
      <c r="AY5" s="36" t="s">
        <v>183</v>
      </c>
      <c r="AZ5" s="36" t="s">
        <v>5</v>
      </c>
      <c r="BA5" s="36" t="s">
        <v>54</v>
      </c>
      <c r="BB5" s="36" t="s">
        <v>183</v>
      </c>
      <c r="BC5" s="36" t="s">
        <v>5</v>
      </c>
      <c r="BD5" s="36" t="s">
        <v>54</v>
      </c>
      <c r="BE5" s="36" t="s">
        <v>183</v>
      </c>
      <c r="BF5" s="36" t="s">
        <v>5</v>
      </c>
      <c r="BG5" s="36" t="s">
        <v>54</v>
      </c>
      <c r="BH5" s="36" t="s">
        <v>183</v>
      </c>
      <c r="BI5" s="36" t="s">
        <v>5</v>
      </c>
      <c r="BJ5" s="36" t="s">
        <v>54</v>
      </c>
      <c r="BK5" s="36" t="s">
        <v>183</v>
      </c>
      <c r="BL5" s="36" t="s">
        <v>5</v>
      </c>
      <c r="BM5" s="36" t="s">
        <v>54</v>
      </c>
      <c r="BN5" s="36" t="s">
        <v>183</v>
      </c>
      <c r="BO5" s="36" t="s">
        <v>5</v>
      </c>
      <c r="BP5" s="36" t="s">
        <v>54</v>
      </c>
      <c r="BQ5" s="36" t="s">
        <v>183</v>
      </c>
      <c r="BR5" s="36" t="s">
        <v>5</v>
      </c>
      <c r="BS5" s="36" t="s">
        <v>54</v>
      </c>
      <c r="BT5" s="36" t="s">
        <v>183</v>
      </c>
      <c r="BU5" s="36" t="s">
        <v>5</v>
      </c>
      <c r="BV5" s="36" t="s">
        <v>54</v>
      </c>
      <c r="BW5" s="36" t="s">
        <v>183</v>
      </c>
      <c r="BX5" s="36" t="s">
        <v>5</v>
      </c>
      <c r="BY5" s="36" t="s">
        <v>54</v>
      </c>
      <c r="BZ5" s="36" t="s">
        <v>183</v>
      </c>
      <c r="CA5" s="36" t="s">
        <v>5</v>
      </c>
    </row>
    <row r="6" spans="1:79" s="1" customFormat="1" ht="19.5" customHeight="1">
      <c r="A6" s="124" t="s">
        <v>12</v>
      </c>
      <c r="B6" s="125">
        <v>2603</v>
      </c>
      <c r="C6" s="32" t="s">
        <v>53</v>
      </c>
      <c r="D6" s="14">
        <v>3587463</v>
      </c>
      <c r="E6" s="14">
        <v>3864492</v>
      </c>
      <c r="F6" s="14">
        <v>38883405</v>
      </c>
      <c r="G6" s="14">
        <v>13977287</v>
      </c>
      <c r="H6" s="14">
        <v>11363869</v>
      </c>
      <c r="I6" s="14">
        <v>22566120</v>
      </c>
      <c r="J6" s="14">
        <v>70326701</v>
      </c>
      <c r="K6" s="14">
        <v>7435203</v>
      </c>
      <c r="L6" s="14">
        <v>574960</v>
      </c>
      <c r="M6" s="15">
        <f t="shared" ref="M6:M46" si="0">(L6/K6-1)*100</f>
        <v>-92.267057133477053</v>
      </c>
      <c r="N6" s="16">
        <f>Q6-K6</f>
        <v>40766</v>
      </c>
      <c r="O6" s="14">
        <f>R6-L6</f>
        <v>14222206</v>
      </c>
      <c r="P6" s="15">
        <f t="shared" ref="P6:P46" si="1">(O6/N6-1)*100</f>
        <v>34787.420889957313</v>
      </c>
      <c r="Q6" s="14">
        <v>7475969</v>
      </c>
      <c r="R6" s="14">
        <v>14797166</v>
      </c>
      <c r="S6" s="15">
        <f t="shared" ref="S6:S46" si="2">(R6/Q6-1)*100</f>
        <v>97.9297399440795</v>
      </c>
      <c r="T6" s="16">
        <f>W6-Q6</f>
        <v>974064</v>
      </c>
      <c r="U6" s="14">
        <f>X6-R6</f>
        <v>153310</v>
      </c>
      <c r="V6" s="15">
        <f t="shared" ref="V6:V7" si="3">(U6/T6-1)*100</f>
        <v>-84.260787792177922</v>
      </c>
      <c r="W6" s="14">
        <v>8450033</v>
      </c>
      <c r="X6" s="14">
        <v>14950476</v>
      </c>
      <c r="Y6" s="15">
        <f t="shared" ref="Y6:Y7" si="4">(X6/W6-1)*100</f>
        <v>76.928019097676909</v>
      </c>
      <c r="Z6" s="16">
        <f>AC6-W6</f>
        <v>1014655</v>
      </c>
      <c r="AA6" s="14">
        <f>AD6-X6</f>
        <v>923626</v>
      </c>
      <c r="AB6" s="15">
        <f t="shared" ref="AB6:AB7" si="5">(AA6/Z6-1)*100</f>
        <v>-8.9714237844390468</v>
      </c>
      <c r="AC6" s="14">
        <v>9464688</v>
      </c>
      <c r="AD6" s="14">
        <v>15874102</v>
      </c>
      <c r="AE6" s="15">
        <f t="shared" ref="AE6:AE7" si="6">(AD6/AC6-1)*100</f>
        <v>67.719231738013974</v>
      </c>
      <c r="AF6" s="16">
        <f>AI6-AC6</f>
        <v>18681022</v>
      </c>
      <c r="AG6" s="14">
        <f>AJ6-AD6</f>
        <v>349774</v>
      </c>
      <c r="AH6" s="15">
        <f t="shared" ref="AH6:AH7" si="7">(AG6/AF6-1)*100</f>
        <v>-98.127650617830227</v>
      </c>
      <c r="AI6" s="14">
        <v>28145710</v>
      </c>
      <c r="AJ6" s="14">
        <v>16223876</v>
      </c>
      <c r="AK6" s="15">
        <f t="shared" ref="AK6:AK7" si="8">(AJ6/AI6-1)*100</f>
        <v>-42.35755289171955</v>
      </c>
      <c r="AL6" s="16">
        <f>AO6-AI6</f>
        <v>19577686</v>
      </c>
      <c r="AM6" s="14">
        <f>AP6-AJ6</f>
        <v>263686</v>
      </c>
      <c r="AN6" s="15">
        <f t="shared" ref="AN6:AN7" si="9">(AM6/AL6-1)*100</f>
        <v>-98.653129894922216</v>
      </c>
      <c r="AO6" s="14">
        <v>47723396</v>
      </c>
      <c r="AP6" s="14">
        <v>16487562</v>
      </c>
      <c r="AQ6" s="15">
        <f t="shared" ref="AQ6:AQ7" si="10">(AP6/AO6-1)*100</f>
        <v>-65.45182576696763</v>
      </c>
      <c r="AR6" s="16">
        <f>AU6-AO6</f>
        <v>206615</v>
      </c>
      <c r="AS6" s="14">
        <f>AV6-AP6</f>
        <v>0</v>
      </c>
      <c r="AT6" s="15">
        <f t="shared" ref="AT6:AT7" si="11">(AS6/AR6-1)*100</f>
        <v>-100</v>
      </c>
      <c r="AU6" s="14">
        <v>47930011</v>
      </c>
      <c r="AV6" s="14">
        <v>16487562</v>
      </c>
      <c r="AW6" s="15">
        <f t="shared" ref="AW6:AW7" si="12">(AV6/AU6-1)*100</f>
        <v>-65.600754817268864</v>
      </c>
      <c r="AX6" s="16">
        <f>BA6-AU6</f>
        <v>766032</v>
      </c>
      <c r="AY6" s="14">
        <f>BB6-AV6</f>
        <v>107000</v>
      </c>
      <c r="AZ6" s="15">
        <f t="shared" ref="AZ6:AZ7" si="13">(AY6/AX6-1)*100</f>
        <v>-86.031915115817611</v>
      </c>
      <c r="BA6" s="14">
        <v>48696043</v>
      </c>
      <c r="BB6" s="14">
        <v>16594562</v>
      </c>
      <c r="BC6" s="15">
        <f t="shared" ref="BC6:BC7" si="14">(BB6/BA6-1)*100</f>
        <v>-65.922155112274723</v>
      </c>
      <c r="BD6" s="16">
        <f>BG6-BA6</f>
        <v>448577</v>
      </c>
      <c r="BE6" s="14">
        <f>BH6-BB6</f>
        <v>21065860</v>
      </c>
      <c r="BF6" s="15">
        <f t="shared" ref="BF6:BF7" si="15">(BE6/BD6-1)*100</f>
        <v>4596.1525000167194</v>
      </c>
      <c r="BG6" s="14">
        <v>49144620</v>
      </c>
      <c r="BH6" s="14">
        <v>37660422</v>
      </c>
      <c r="BI6" s="15">
        <f t="shared" ref="BI6:BI7" si="16">(BH6/BG6-1)*100</f>
        <v>-23.368169292996875</v>
      </c>
      <c r="BJ6" s="16">
        <f>BM6-BG6</f>
        <v>877319</v>
      </c>
      <c r="BK6" s="14">
        <f>BN6-BH6</f>
        <v>904136</v>
      </c>
      <c r="BL6" s="15">
        <f t="shared" ref="BL6:BL7" si="17">(BK6/BJ6-1)*100</f>
        <v>3.0566988746396628</v>
      </c>
      <c r="BM6" s="14">
        <v>50021939</v>
      </c>
      <c r="BN6" s="14">
        <v>38564558</v>
      </c>
      <c r="BO6" s="15">
        <f t="shared" ref="BO6:BO7" si="18">(BN6/BM6-1)*100</f>
        <v>-22.904711870525453</v>
      </c>
      <c r="BP6" s="16">
        <f>BS6-BM6</f>
        <v>14245794</v>
      </c>
      <c r="BQ6" s="14">
        <f>BT6-BN6</f>
        <v>8800</v>
      </c>
      <c r="BR6" s="15">
        <f t="shared" ref="BR6:BR7" si="19">(BQ6/BP6-1)*100</f>
        <v>-99.938227381359013</v>
      </c>
      <c r="BS6" s="14">
        <v>64267733</v>
      </c>
      <c r="BT6" s="14">
        <v>38573358</v>
      </c>
      <c r="BU6" s="15">
        <f t="shared" ref="BU6:BU7" si="20">(BT6/BS6-1)*100</f>
        <v>-39.980210598061703</v>
      </c>
      <c r="BV6" s="16">
        <f>BY6-BS6</f>
        <v>6058968</v>
      </c>
      <c r="BW6" s="14">
        <f>BZ6-BT6</f>
        <v>806414</v>
      </c>
      <c r="BX6" s="15">
        <f t="shared" ref="BX6:BX7" si="21">(BW6/BV6-1)*100</f>
        <v>-86.690571727726578</v>
      </c>
      <c r="BY6" s="14">
        <v>70326701</v>
      </c>
      <c r="BZ6" s="14">
        <v>39379772</v>
      </c>
      <c r="CA6" s="15">
        <f t="shared" ref="CA6:CA7" si="22">(BZ6/BY6-1)*100</f>
        <v>-44.004522549692759</v>
      </c>
    </row>
    <row r="7" spans="1:79" s="1" customFormat="1" ht="19.5" customHeight="1">
      <c r="A7" s="118"/>
      <c r="B7" s="125"/>
      <c r="C7" s="33" t="s">
        <v>50</v>
      </c>
      <c r="D7" s="17">
        <v>673912</v>
      </c>
      <c r="E7" s="17">
        <v>1380866</v>
      </c>
      <c r="F7" s="17">
        <v>66714005</v>
      </c>
      <c r="G7" s="17">
        <v>11806607</v>
      </c>
      <c r="H7" s="17">
        <v>11218920</v>
      </c>
      <c r="I7" s="17">
        <v>25949814</v>
      </c>
      <c r="J7" s="17">
        <v>93621108</v>
      </c>
      <c r="K7" s="17">
        <v>9474238</v>
      </c>
      <c r="L7" s="17">
        <v>366264</v>
      </c>
      <c r="M7" s="18">
        <f t="shared" si="0"/>
        <v>-96.13410598298249</v>
      </c>
      <c r="N7" s="14">
        <f>Q7-K7</f>
        <v>73652</v>
      </c>
      <c r="O7" s="14">
        <f>R7-L7</f>
        <v>12528120</v>
      </c>
      <c r="P7" s="18">
        <f t="shared" si="1"/>
        <v>16909.884320860263</v>
      </c>
      <c r="Q7" s="17">
        <v>9547890</v>
      </c>
      <c r="R7" s="17">
        <v>12894384</v>
      </c>
      <c r="S7" s="18">
        <f t="shared" si="2"/>
        <v>35.049565925036831</v>
      </c>
      <c r="T7" s="14">
        <f>W7-Q7</f>
        <v>472957</v>
      </c>
      <c r="U7" s="14">
        <f>X7-R7</f>
        <v>24836</v>
      </c>
      <c r="V7" s="18">
        <f t="shared" si="3"/>
        <v>-94.748782658888658</v>
      </c>
      <c r="W7" s="17">
        <v>10020847</v>
      </c>
      <c r="X7" s="17">
        <v>12919220</v>
      </c>
      <c r="Y7" s="18">
        <f t="shared" si="4"/>
        <v>28.923433318560797</v>
      </c>
      <c r="Z7" s="14">
        <f>AC7-W7</f>
        <v>1035489</v>
      </c>
      <c r="AA7" s="14">
        <f>AD7-X7</f>
        <v>186291</v>
      </c>
      <c r="AB7" s="18">
        <f t="shared" si="5"/>
        <v>-82.00936948630067</v>
      </c>
      <c r="AC7" s="17">
        <v>11056336</v>
      </c>
      <c r="AD7" s="17">
        <v>13105511</v>
      </c>
      <c r="AE7" s="18">
        <f t="shared" si="6"/>
        <v>18.533942890302903</v>
      </c>
      <c r="AF7" s="14">
        <f>AI7-AC7</f>
        <v>26949219</v>
      </c>
      <c r="AG7" s="14">
        <f>AJ7-AD7</f>
        <v>418009</v>
      </c>
      <c r="AH7" s="18">
        <f t="shared" si="7"/>
        <v>-98.448901246451697</v>
      </c>
      <c r="AI7" s="17">
        <v>38005555</v>
      </c>
      <c r="AJ7" s="17">
        <v>13523520</v>
      </c>
      <c r="AK7" s="18">
        <f t="shared" si="8"/>
        <v>-64.416991147741427</v>
      </c>
      <c r="AL7" s="14">
        <f>AO7-AI7</f>
        <v>25761230</v>
      </c>
      <c r="AM7" s="14">
        <f>AP7-AJ7</f>
        <v>32851</v>
      </c>
      <c r="AN7" s="18">
        <f t="shared" si="9"/>
        <v>-99.87247891502075</v>
      </c>
      <c r="AO7" s="17">
        <v>63766785</v>
      </c>
      <c r="AP7" s="17">
        <v>13556371</v>
      </c>
      <c r="AQ7" s="18">
        <f t="shared" si="10"/>
        <v>-78.740701761896887</v>
      </c>
      <c r="AR7" s="14">
        <f>AU7-AO7</f>
        <v>326470</v>
      </c>
      <c r="AS7" s="14">
        <f>AV7-AP7</f>
        <v>0</v>
      </c>
      <c r="AT7" s="18">
        <f t="shared" si="11"/>
        <v>-100</v>
      </c>
      <c r="AU7" s="17">
        <v>64093255</v>
      </c>
      <c r="AV7" s="17">
        <v>13556371</v>
      </c>
      <c r="AW7" s="18">
        <f t="shared" si="12"/>
        <v>-78.848989647974648</v>
      </c>
      <c r="AX7" s="14">
        <f>BA7-AU7</f>
        <v>424141</v>
      </c>
      <c r="AY7" s="14">
        <f>BB7-AV7</f>
        <v>16814</v>
      </c>
      <c r="AZ7" s="18">
        <f t="shared" si="13"/>
        <v>-96.03575226162998</v>
      </c>
      <c r="BA7" s="17">
        <v>64517396</v>
      </c>
      <c r="BB7" s="17">
        <v>13573185</v>
      </c>
      <c r="BC7" s="18">
        <f t="shared" si="14"/>
        <v>-78.961976394707563</v>
      </c>
      <c r="BD7" s="14">
        <f>BG7-BA7</f>
        <v>264016</v>
      </c>
      <c r="BE7" s="14">
        <f>BH7-BB7</f>
        <v>25172256</v>
      </c>
      <c r="BF7" s="18">
        <f t="shared" si="15"/>
        <v>9434.3676140839943</v>
      </c>
      <c r="BG7" s="17">
        <v>64781412</v>
      </c>
      <c r="BH7" s="17">
        <v>38745441</v>
      </c>
      <c r="BI7" s="18">
        <f t="shared" si="16"/>
        <v>-40.190496310886218</v>
      </c>
      <c r="BJ7" s="14">
        <f>BM7-BG7</f>
        <v>470669</v>
      </c>
      <c r="BK7" s="14">
        <f>BN7-BH7</f>
        <v>277471</v>
      </c>
      <c r="BL7" s="18">
        <f t="shared" si="17"/>
        <v>-41.047530217626402</v>
      </c>
      <c r="BM7" s="17">
        <v>65252081</v>
      </c>
      <c r="BN7" s="17">
        <v>39022912</v>
      </c>
      <c r="BO7" s="18">
        <f t="shared" si="18"/>
        <v>-40.196678171842514</v>
      </c>
      <c r="BP7" s="14">
        <f>BS7-BM7</f>
        <v>20748553</v>
      </c>
      <c r="BQ7" s="14">
        <f>BT7-BN7</f>
        <v>5333</v>
      </c>
      <c r="BR7" s="18">
        <f t="shared" si="19"/>
        <v>-99.974297002783757</v>
      </c>
      <c r="BS7" s="17">
        <v>86000634</v>
      </c>
      <c r="BT7" s="17">
        <v>39028245</v>
      </c>
      <c r="BU7" s="18">
        <f t="shared" si="20"/>
        <v>-54.618654322943705</v>
      </c>
      <c r="BV7" s="14">
        <f>BY7-BS7</f>
        <v>7620474</v>
      </c>
      <c r="BW7" s="14">
        <f>BZ7-BT7</f>
        <v>64354</v>
      </c>
      <c r="BX7" s="18">
        <f t="shared" si="21"/>
        <v>-99.155511848738016</v>
      </c>
      <c r="BY7" s="17">
        <v>93621108</v>
      </c>
      <c r="BZ7" s="17">
        <v>39092599</v>
      </c>
      <c r="CA7" s="18">
        <f t="shared" si="22"/>
        <v>-58.243819331854098</v>
      </c>
    </row>
    <row r="8" spans="1:79" s="1" customFormat="1" ht="19.5" customHeight="1" thickBot="1">
      <c r="A8" s="119"/>
      <c r="B8" s="126"/>
      <c r="C8" s="34" t="s">
        <v>51</v>
      </c>
      <c r="D8" s="19">
        <f t="shared" ref="D8:L8" si="23">D7/D6</f>
        <v>0.18785197227121228</v>
      </c>
      <c r="E8" s="19">
        <f t="shared" si="23"/>
        <v>0.3573214797701742</v>
      </c>
      <c r="F8" s="19">
        <f t="shared" si="23"/>
        <v>1.7157449302600942</v>
      </c>
      <c r="G8" s="19">
        <f t="shared" si="23"/>
        <v>0.84469947565647041</v>
      </c>
      <c r="H8" s="20">
        <f>H7/H6</f>
        <v>0.98724474912549587</v>
      </c>
      <c r="I8" s="20">
        <f>I7/I6</f>
        <v>1.1499457593950577</v>
      </c>
      <c r="J8" s="20">
        <f>J7/J6</f>
        <v>1.3312313341699336</v>
      </c>
      <c r="K8" s="20">
        <f t="shared" si="23"/>
        <v>1.2742406629650864</v>
      </c>
      <c r="L8" s="20">
        <f t="shared" si="23"/>
        <v>0.63702518436065114</v>
      </c>
      <c r="M8" s="21"/>
      <c r="N8" s="20">
        <f>N7/N6</f>
        <v>1.8067016631506647</v>
      </c>
      <c r="O8" s="20">
        <f>O7/O6</f>
        <v>0.8808844422588169</v>
      </c>
      <c r="P8" s="21"/>
      <c r="Q8" s="20">
        <f>Q7/Q6</f>
        <v>1.2771441401108004</v>
      </c>
      <c r="R8" s="20">
        <f>R7/R6</f>
        <v>0.8714090252146931</v>
      </c>
      <c r="S8" s="21"/>
      <c r="T8" s="20">
        <f>T7/T6</f>
        <v>0.48555023078565679</v>
      </c>
      <c r="U8" s="20">
        <f>U7/U6</f>
        <v>0.1619985649990216</v>
      </c>
      <c r="V8" s="21"/>
      <c r="W8" s="20">
        <f>W7/W6</f>
        <v>1.1858944219507781</v>
      </c>
      <c r="X8" s="20">
        <f>X7/X6</f>
        <v>0.86413435933411087</v>
      </c>
      <c r="Y8" s="21"/>
      <c r="Z8" s="20">
        <f>Z7/Z6</f>
        <v>1.0205330876012044</v>
      </c>
      <c r="AA8" s="20">
        <f>AA7/AA6</f>
        <v>0.20169527492729741</v>
      </c>
      <c r="AB8" s="21"/>
      <c r="AC8" s="20">
        <f>AC7/AC6</f>
        <v>1.1681669802533374</v>
      </c>
      <c r="AD8" s="20">
        <f>AD7/AD6</f>
        <v>0.82559070113068445</v>
      </c>
      <c r="AE8" s="21"/>
      <c r="AF8" s="20">
        <f>AF7/AF6</f>
        <v>1.4425987507535722</v>
      </c>
      <c r="AG8" s="20">
        <f>AG7/AG6</f>
        <v>1.1950831108086937</v>
      </c>
      <c r="AH8" s="21"/>
      <c r="AI8" s="20">
        <f>AI7/AI6</f>
        <v>1.3503143107777349</v>
      </c>
      <c r="AJ8" s="20">
        <f>AJ7/AJ6</f>
        <v>0.83355666672994788</v>
      </c>
      <c r="AK8" s="21"/>
      <c r="AL8" s="20">
        <f>AL7/AL6</f>
        <v>1.3158465203701806</v>
      </c>
      <c r="AM8" s="20">
        <f>AM7/AM6</f>
        <v>0.12458378525974076</v>
      </c>
      <c r="AN8" s="21"/>
      <c r="AO8" s="20">
        <f>AO7/AO6</f>
        <v>1.3361745044296511</v>
      </c>
      <c r="AP8" s="20">
        <f>AP7/AP6</f>
        <v>0.82221804533623588</v>
      </c>
      <c r="AQ8" s="21"/>
      <c r="AR8" s="20">
        <f>AR7/AR6</f>
        <v>1.5800885705297292</v>
      </c>
      <c r="AS8" s="20" t="e">
        <f>AS7/AS6</f>
        <v>#DIV/0!</v>
      </c>
      <c r="AT8" s="21"/>
      <c r="AU8" s="20">
        <f>AU7/AU6</f>
        <v>1.3372259605782273</v>
      </c>
      <c r="AV8" s="20">
        <f>AV7/AV6</f>
        <v>0.82221804533623588</v>
      </c>
      <c r="AW8" s="21"/>
      <c r="AX8" s="20">
        <f>AX7/AX6</f>
        <v>0.55368574680953275</v>
      </c>
      <c r="AY8" s="20">
        <f>AY7/AY6</f>
        <v>0.15714018691588785</v>
      </c>
      <c r="AZ8" s="21"/>
      <c r="BA8" s="20">
        <f>BA7/BA6</f>
        <v>1.3249001772074169</v>
      </c>
      <c r="BB8" s="20">
        <f>BB7/BB6</f>
        <v>0.81792969287167683</v>
      </c>
      <c r="BC8" s="21"/>
      <c r="BD8" s="20">
        <f>BD7/BD6</f>
        <v>0.58856339045470452</v>
      </c>
      <c r="BE8" s="20">
        <f>BE7/BE6</f>
        <v>1.1949313249019979</v>
      </c>
      <c r="BF8" s="21"/>
      <c r="BG8" s="20">
        <f>BG7/BG6</f>
        <v>1.3181791211326896</v>
      </c>
      <c r="BH8" s="20">
        <f>BH7/BH6</f>
        <v>1.0288105905982678</v>
      </c>
      <c r="BI8" s="21"/>
      <c r="BJ8" s="20">
        <f>BJ7/BJ6</f>
        <v>0.53648558848035888</v>
      </c>
      <c r="BK8" s="20">
        <f>BK7/BK6</f>
        <v>0.3068907774936514</v>
      </c>
      <c r="BL8" s="21"/>
      <c r="BM8" s="20">
        <f>BM7/BM6</f>
        <v>1.3044692449846855</v>
      </c>
      <c r="BN8" s="20">
        <f>BN7/BN6</f>
        <v>1.0118853689442</v>
      </c>
      <c r="BO8" s="21"/>
      <c r="BP8" s="20">
        <f>BP7/BP6</f>
        <v>1.4564686952513843</v>
      </c>
      <c r="BQ8" s="20">
        <f>BQ7/BQ6</f>
        <v>0.60602272727272732</v>
      </c>
      <c r="BR8" s="21"/>
      <c r="BS8" s="20">
        <f>BS7/BS6</f>
        <v>1.3381619357882126</v>
      </c>
      <c r="BT8" s="20">
        <f>BT7/BT6</f>
        <v>1.0117927767657666</v>
      </c>
      <c r="BU8" s="21"/>
      <c r="BV8" s="20">
        <f>BV7/BV6</f>
        <v>1.2577181460605171</v>
      </c>
      <c r="BW8" s="20">
        <f>BW7/BW6</f>
        <v>7.9802681997088343E-2</v>
      </c>
      <c r="BX8" s="21"/>
      <c r="BY8" s="20">
        <f>BY7/BY6</f>
        <v>1.3312313341699336</v>
      </c>
      <c r="BZ8" s="20">
        <f>BZ7/BZ6</f>
        <v>0.99270760125274471</v>
      </c>
      <c r="CA8" s="21"/>
    </row>
    <row r="9" spans="1:79" s="1" customFormat="1" ht="19.5" customHeight="1">
      <c r="A9" s="117" t="s">
        <v>13</v>
      </c>
      <c r="B9" s="133">
        <v>2604</v>
      </c>
      <c r="C9" s="32" t="s">
        <v>42</v>
      </c>
      <c r="D9" s="22">
        <v>810655</v>
      </c>
      <c r="E9" s="22">
        <v>805820</v>
      </c>
      <c r="F9" s="22">
        <v>3305362</v>
      </c>
      <c r="G9" s="22">
        <v>1391454</v>
      </c>
      <c r="H9" s="22">
        <v>958957</v>
      </c>
      <c r="I9" s="22">
        <v>598828</v>
      </c>
      <c r="J9" s="22">
        <v>1625205</v>
      </c>
      <c r="K9" s="22">
        <v>1000</v>
      </c>
      <c r="L9" s="22">
        <v>0</v>
      </c>
      <c r="M9" s="15">
        <f t="shared" si="0"/>
        <v>-100</v>
      </c>
      <c r="N9" s="23">
        <f>Q9-K9</f>
        <v>306238</v>
      </c>
      <c r="O9" s="22">
        <f>R9-L9</f>
        <v>0</v>
      </c>
      <c r="P9" s="15">
        <f t="shared" si="1"/>
        <v>-100</v>
      </c>
      <c r="Q9" s="22">
        <v>307238</v>
      </c>
      <c r="R9" s="22">
        <v>0</v>
      </c>
      <c r="S9" s="15">
        <f t="shared" si="2"/>
        <v>-100</v>
      </c>
      <c r="T9" s="23">
        <f>W9-Q9</f>
        <v>0</v>
      </c>
      <c r="U9" s="22">
        <f>X9-R9</f>
        <v>16380</v>
      </c>
      <c r="V9" s="15" t="e">
        <f t="shared" ref="V9:V10" si="24">(U9/T9-1)*100</f>
        <v>#DIV/0!</v>
      </c>
      <c r="W9" s="22">
        <v>307238</v>
      </c>
      <c r="X9" s="22">
        <v>16380</v>
      </c>
      <c r="Y9" s="15">
        <f t="shared" ref="Y9:Y10" si="25">(X9/W9-1)*100</f>
        <v>-94.668628229580975</v>
      </c>
      <c r="Z9" s="23">
        <f>AC9-W9</f>
        <v>17191</v>
      </c>
      <c r="AA9" s="22">
        <f>AD9-X9</f>
        <v>279220</v>
      </c>
      <c r="AB9" s="15">
        <f t="shared" ref="AB9:AB10" si="26">(AA9/Z9-1)*100</f>
        <v>1524.2219766156709</v>
      </c>
      <c r="AC9" s="22">
        <v>324429</v>
      </c>
      <c r="AD9" s="22">
        <v>295600</v>
      </c>
      <c r="AE9" s="15">
        <f t="shared" ref="AE9:AE10" si="27">(AD9/AC9-1)*100</f>
        <v>-8.886073686384389</v>
      </c>
      <c r="AF9" s="23">
        <f>AI9-AC9</f>
        <v>396840</v>
      </c>
      <c r="AG9" s="22">
        <f>AJ9-AD9</f>
        <v>0</v>
      </c>
      <c r="AH9" s="15">
        <f t="shared" ref="AH9:AH10" si="28">(AG9/AF9-1)*100</f>
        <v>-100</v>
      </c>
      <c r="AI9" s="22">
        <v>721269</v>
      </c>
      <c r="AJ9" s="22">
        <v>295600</v>
      </c>
      <c r="AK9" s="15">
        <f t="shared" ref="AK9:AK10" si="29">(AJ9/AI9-1)*100</f>
        <v>-59.016677550262109</v>
      </c>
      <c r="AL9" s="23">
        <f>AO9-AI9</f>
        <v>121646</v>
      </c>
      <c r="AM9" s="22">
        <f>AP9-AJ9</f>
        <v>0</v>
      </c>
      <c r="AN9" s="15">
        <f t="shared" ref="AN9:AN10" si="30">(AM9/AL9-1)*100</f>
        <v>-100</v>
      </c>
      <c r="AO9" s="22">
        <v>842915</v>
      </c>
      <c r="AP9" s="22">
        <v>295600</v>
      </c>
      <c r="AQ9" s="15">
        <f t="shared" ref="AQ9:AQ10" si="31">(AP9/AO9-1)*100</f>
        <v>-64.931220822977394</v>
      </c>
      <c r="AR9" s="23">
        <f>AU9-AO9</f>
        <v>646044</v>
      </c>
      <c r="AS9" s="22">
        <f>AV9-AP9</f>
        <v>0</v>
      </c>
      <c r="AT9" s="15">
        <f t="shared" ref="AT9:AT10" si="32">(AS9/AR9-1)*100</f>
        <v>-100</v>
      </c>
      <c r="AU9" s="22">
        <v>1488959</v>
      </c>
      <c r="AV9" s="22">
        <v>295600</v>
      </c>
      <c r="AW9" s="15">
        <f t="shared" ref="AW9:AW10" si="33">(AV9/AU9-1)*100</f>
        <v>-80.147203516013548</v>
      </c>
      <c r="AX9" s="23">
        <f>BA9-AU9</f>
        <v>0</v>
      </c>
      <c r="AY9" s="22">
        <f>BB9-AV9</f>
        <v>30180</v>
      </c>
      <c r="AZ9" s="15" t="e">
        <f t="shared" ref="AZ9:AZ10" si="34">(AY9/AX9-1)*100</f>
        <v>#DIV/0!</v>
      </c>
      <c r="BA9" s="22">
        <v>1488959</v>
      </c>
      <c r="BB9" s="22">
        <v>325780</v>
      </c>
      <c r="BC9" s="15">
        <f t="shared" ref="BC9:BC10" si="35">(BB9/BA9-1)*100</f>
        <v>-78.120284037371079</v>
      </c>
      <c r="BD9" s="23">
        <f>BG9-BA9</f>
        <v>0</v>
      </c>
      <c r="BE9" s="22">
        <f>BH9-BB9</f>
        <v>60550</v>
      </c>
      <c r="BF9" s="15" t="e">
        <f t="shared" ref="BF9:BF10" si="36">(BE9/BD9-1)*100</f>
        <v>#DIV/0!</v>
      </c>
      <c r="BG9" s="22">
        <v>1488959</v>
      </c>
      <c r="BH9" s="22">
        <v>386330</v>
      </c>
      <c r="BI9" s="15">
        <f t="shared" ref="BI9:BI10" si="37">(BH9/BG9-1)*100</f>
        <v>-74.053684486946906</v>
      </c>
      <c r="BJ9" s="23">
        <f>BM9-BG9</f>
        <v>0</v>
      </c>
      <c r="BK9" s="22">
        <f>BN9-BH9</f>
        <v>40000</v>
      </c>
      <c r="BL9" s="15" t="e">
        <f t="shared" ref="BL9:BL10" si="38">(BK9/BJ9-1)*100</f>
        <v>#DIV/0!</v>
      </c>
      <c r="BM9" s="22">
        <v>1488959</v>
      </c>
      <c r="BN9" s="22">
        <v>426330</v>
      </c>
      <c r="BO9" s="15">
        <f t="shared" ref="BO9:BO10" si="39">(BN9/BM9-1)*100</f>
        <v>-71.367243826055656</v>
      </c>
      <c r="BP9" s="23">
        <f>BS9-BM9</f>
        <v>0</v>
      </c>
      <c r="BQ9" s="22">
        <f>BT9-BN9</f>
        <v>0</v>
      </c>
      <c r="BR9" s="15" t="e">
        <f t="shared" ref="BR9:BR10" si="40">(BQ9/BP9-1)*100</f>
        <v>#DIV/0!</v>
      </c>
      <c r="BS9" s="22">
        <v>1488959</v>
      </c>
      <c r="BT9" s="22">
        <v>426330</v>
      </c>
      <c r="BU9" s="15">
        <f t="shared" ref="BU9:BU10" si="41">(BT9/BS9-1)*100</f>
        <v>-71.367243826055656</v>
      </c>
      <c r="BV9" s="23">
        <f>BY9-BS9</f>
        <v>136246</v>
      </c>
      <c r="BW9" s="22">
        <f>BZ9-BT9</f>
        <v>2016333</v>
      </c>
      <c r="BX9" s="15">
        <f t="shared" ref="BX9:BX10" si="42">(BW9/BV9-1)*100</f>
        <v>1379.9208784111092</v>
      </c>
      <c r="BY9" s="22">
        <v>1625205</v>
      </c>
      <c r="BZ9" s="22">
        <v>2442663</v>
      </c>
      <c r="CA9" s="15">
        <f t="shared" ref="CA9:CA10" si="43">(BZ9/BY9-1)*100</f>
        <v>50.298762309985513</v>
      </c>
    </row>
    <row r="10" spans="1:79" s="1" customFormat="1" ht="19.5" customHeight="1">
      <c r="A10" s="118"/>
      <c r="B10" s="120"/>
      <c r="C10" s="33" t="s">
        <v>50</v>
      </c>
      <c r="D10" s="17">
        <v>310451</v>
      </c>
      <c r="E10" s="17">
        <v>200352</v>
      </c>
      <c r="F10" s="17">
        <v>295281</v>
      </c>
      <c r="G10" s="17">
        <v>103602</v>
      </c>
      <c r="H10" s="17">
        <v>624989</v>
      </c>
      <c r="I10" s="17">
        <v>1216144</v>
      </c>
      <c r="J10" s="17">
        <v>664970</v>
      </c>
      <c r="K10" s="17">
        <v>95</v>
      </c>
      <c r="L10" s="17">
        <v>0</v>
      </c>
      <c r="M10" s="18">
        <f t="shared" si="0"/>
        <v>-100</v>
      </c>
      <c r="N10" s="14">
        <f>Q10-K10</f>
        <v>137800</v>
      </c>
      <c r="O10" s="14">
        <f>R10-L10</f>
        <v>0</v>
      </c>
      <c r="P10" s="18">
        <f t="shared" si="1"/>
        <v>-100</v>
      </c>
      <c r="Q10" s="17">
        <v>137895</v>
      </c>
      <c r="R10" s="17">
        <v>0</v>
      </c>
      <c r="S10" s="18">
        <f t="shared" si="2"/>
        <v>-100</v>
      </c>
      <c r="T10" s="14">
        <f>W10-Q10</f>
        <v>0</v>
      </c>
      <c r="U10" s="14">
        <f>X10-R10</f>
        <v>10499</v>
      </c>
      <c r="V10" s="18" t="e">
        <f t="shared" si="24"/>
        <v>#DIV/0!</v>
      </c>
      <c r="W10" s="17">
        <v>137895</v>
      </c>
      <c r="X10" s="17">
        <v>10499</v>
      </c>
      <c r="Y10" s="18">
        <f t="shared" si="25"/>
        <v>-92.386235904129961</v>
      </c>
      <c r="Z10" s="14">
        <f>AC10-W10</f>
        <v>34232</v>
      </c>
      <c r="AA10" s="14">
        <f>AD10-X10</f>
        <v>62830</v>
      </c>
      <c r="AB10" s="18">
        <f t="shared" si="26"/>
        <v>83.541715354054674</v>
      </c>
      <c r="AC10" s="17">
        <v>172127</v>
      </c>
      <c r="AD10" s="17">
        <v>73329</v>
      </c>
      <c r="AE10" s="18">
        <f t="shared" si="27"/>
        <v>-57.398316359432279</v>
      </c>
      <c r="AF10" s="14">
        <f>AI10-AC10</f>
        <v>112535</v>
      </c>
      <c r="AG10" s="14">
        <f>AJ10-AD10</f>
        <v>0</v>
      </c>
      <c r="AH10" s="18">
        <f t="shared" si="28"/>
        <v>-100</v>
      </c>
      <c r="AI10" s="17">
        <v>284662</v>
      </c>
      <c r="AJ10" s="17">
        <v>73329</v>
      </c>
      <c r="AK10" s="18">
        <f t="shared" si="29"/>
        <v>-74.239975830985514</v>
      </c>
      <c r="AL10" s="14">
        <f>AO10-AI10</f>
        <v>49832</v>
      </c>
      <c r="AM10" s="14">
        <f>AP10-AJ10</f>
        <v>0</v>
      </c>
      <c r="AN10" s="18">
        <f t="shared" si="30"/>
        <v>-100</v>
      </c>
      <c r="AO10" s="17">
        <v>334494</v>
      </c>
      <c r="AP10" s="17">
        <v>73329</v>
      </c>
      <c r="AQ10" s="18">
        <f t="shared" si="31"/>
        <v>-78.077633679527878</v>
      </c>
      <c r="AR10" s="14">
        <f>AU10-AO10</f>
        <v>268088</v>
      </c>
      <c r="AS10" s="14">
        <f>AV10-AP10</f>
        <v>0</v>
      </c>
      <c r="AT10" s="18">
        <f t="shared" si="32"/>
        <v>-100</v>
      </c>
      <c r="AU10" s="17">
        <v>602582</v>
      </c>
      <c r="AV10" s="17">
        <v>73329</v>
      </c>
      <c r="AW10" s="18">
        <f t="shared" si="33"/>
        <v>-87.830867832095876</v>
      </c>
      <c r="AX10" s="14">
        <f>BA10-AU10</f>
        <v>0</v>
      </c>
      <c r="AY10" s="14">
        <f>BB10-AV10</f>
        <v>10003</v>
      </c>
      <c r="AZ10" s="18" t="e">
        <f t="shared" si="34"/>
        <v>#DIV/0!</v>
      </c>
      <c r="BA10" s="17">
        <v>602582</v>
      </c>
      <c r="BB10" s="17">
        <v>83332</v>
      </c>
      <c r="BC10" s="18">
        <f t="shared" si="35"/>
        <v>-86.170844797886431</v>
      </c>
      <c r="BD10" s="14">
        <f>BG10-BA10</f>
        <v>0</v>
      </c>
      <c r="BE10" s="14">
        <f>BH10-BB10</f>
        <v>21138</v>
      </c>
      <c r="BF10" s="18" t="e">
        <f t="shared" si="36"/>
        <v>#DIV/0!</v>
      </c>
      <c r="BG10" s="17">
        <v>602582</v>
      </c>
      <c r="BH10" s="17">
        <v>104470</v>
      </c>
      <c r="BI10" s="18">
        <f t="shared" si="37"/>
        <v>-82.662940479470009</v>
      </c>
      <c r="BJ10" s="14">
        <f>BM10-BG10</f>
        <v>0</v>
      </c>
      <c r="BK10" s="14">
        <f>BN10-BH10</f>
        <v>5200</v>
      </c>
      <c r="BL10" s="18" t="e">
        <f t="shared" si="38"/>
        <v>#DIV/0!</v>
      </c>
      <c r="BM10" s="17">
        <v>602582</v>
      </c>
      <c r="BN10" s="17">
        <v>109670</v>
      </c>
      <c r="BO10" s="18">
        <f t="shared" si="39"/>
        <v>-81.799987387608653</v>
      </c>
      <c r="BP10" s="14">
        <f>BS10-BM10</f>
        <v>0</v>
      </c>
      <c r="BQ10" s="14">
        <f>BT10-BN10</f>
        <v>0</v>
      </c>
      <c r="BR10" s="18" t="e">
        <f t="shared" si="40"/>
        <v>#DIV/0!</v>
      </c>
      <c r="BS10" s="17">
        <v>602582</v>
      </c>
      <c r="BT10" s="17">
        <v>109670</v>
      </c>
      <c r="BU10" s="18">
        <f t="shared" si="41"/>
        <v>-81.799987387608653</v>
      </c>
      <c r="BV10" s="14">
        <f>BY10-BS10</f>
        <v>62388</v>
      </c>
      <c r="BW10" s="14">
        <f>BZ10-BT10</f>
        <v>283248</v>
      </c>
      <c r="BX10" s="18">
        <f t="shared" si="42"/>
        <v>354.01038661281018</v>
      </c>
      <c r="BY10" s="17">
        <v>664970</v>
      </c>
      <c r="BZ10" s="17">
        <v>392918</v>
      </c>
      <c r="CA10" s="18">
        <f t="shared" si="43"/>
        <v>-40.911920838534066</v>
      </c>
    </row>
    <row r="11" spans="1:79" s="1" customFormat="1" ht="19.5" customHeight="1" thickBot="1">
      <c r="A11" s="119"/>
      <c r="B11" s="121"/>
      <c r="C11" s="34" t="s">
        <v>51</v>
      </c>
      <c r="D11" s="19">
        <f t="shared" ref="D11:L11" si="44">D10/D9</f>
        <v>0.38296315942046866</v>
      </c>
      <c r="E11" s="19">
        <f t="shared" si="44"/>
        <v>0.24863120796207588</v>
      </c>
      <c r="F11" s="19">
        <f t="shared" si="44"/>
        <v>8.933393679724036E-2</v>
      </c>
      <c r="G11" s="19">
        <f t="shared" si="44"/>
        <v>7.4455928834154778E-2</v>
      </c>
      <c r="H11" s="20">
        <f>H10/H9</f>
        <v>0.65173829483490919</v>
      </c>
      <c r="I11" s="20">
        <f>I10/I9</f>
        <v>2.0308736398431604</v>
      </c>
      <c r="J11" s="20">
        <f>J10/J9</f>
        <v>0.40916069049750647</v>
      </c>
      <c r="K11" s="20">
        <f t="shared" si="44"/>
        <v>9.5000000000000001E-2</v>
      </c>
      <c r="L11" s="20" t="e">
        <f t="shared" si="44"/>
        <v>#DIV/0!</v>
      </c>
      <c r="M11" s="21"/>
      <c r="N11" s="20">
        <f>N10/N9</f>
        <v>0.44997681541807355</v>
      </c>
      <c r="O11" s="20" t="e">
        <f>O10/O9</f>
        <v>#DIV/0!</v>
      </c>
      <c r="P11" s="21"/>
      <c r="Q11" s="20">
        <f>Q10/Q9</f>
        <v>0.44882143484855391</v>
      </c>
      <c r="R11" s="20" t="e">
        <f>R10/R9</f>
        <v>#DIV/0!</v>
      </c>
      <c r="S11" s="21"/>
      <c r="T11" s="20" t="e">
        <f>T10/T9</f>
        <v>#DIV/0!</v>
      </c>
      <c r="U11" s="20">
        <f>U10/U9</f>
        <v>0.64096459096459102</v>
      </c>
      <c r="V11" s="21"/>
      <c r="W11" s="20">
        <f>W10/W9</f>
        <v>0.44882143484855391</v>
      </c>
      <c r="X11" s="20">
        <f>X10/X9</f>
        <v>0.64096459096459102</v>
      </c>
      <c r="Y11" s="21"/>
      <c r="Z11" s="20">
        <f>Z10/Z9</f>
        <v>1.9912745041009832</v>
      </c>
      <c r="AA11" s="20">
        <f>AA10/AA9</f>
        <v>0.22501969772938901</v>
      </c>
      <c r="AB11" s="21"/>
      <c r="AC11" s="20">
        <f>AC10/AC9</f>
        <v>0.53055368046629614</v>
      </c>
      <c r="AD11" s="20">
        <f>AD10/AD9</f>
        <v>0.24806833558863328</v>
      </c>
      <c r="AE11" s="21"/>
      <c r="AF11" s="20">
        <f>AF10/AF9</f>
        <v>0.28357776433827236</v>
      </c>
      <c r="AG11" s="20" t="e">
        <f>AG10/AG9</f>
        <v>#DIV/0!</v>
      </c>
      <c r="AH11" s="21"/>
      <c r="AI11" s="20">
        <f>AI10/AI9</f>
        <v>0.39466828603475262</v>
      </c>
      <c r="AJ11" s="20">
        <f>AJ10/AJ9</f>
        <v>0.24806833558863328</v>
      </c>
      <c r="AK11" s="21"/>
      <c r="AL11" s="20">
        <f>AL10/AL9</f>
        <v>0.40964766617891257</v>
      </c>
      <c r="AM11" s="20" t="e">
        <f>AM10/AM9</f>
        <v>#DIV/0!</v>
      </c>
      <c r="AN11" s="21"/>
      <c r="AO11" s="20">
        <f>AO10/AO9</f>
        <v>0.39683004810686723</v>
      </c>
      <c r="AP11" s="20">
        <f>AP10/AP9</f>
        <v>0.24806833558863328</v>
      </c>
      <c r="AQ11" s="21"/>
      <c r="AR11" s="20">
        <f>AR10/AR9</f>
        <v>0.41496863990687943</v>
      </c>
      <c r="AS11" s="20" t="e">
        <f>AS10/AS9</f>
        <v>#DIV/0!</v>
      </c>
      <c r="AT11" s="21"/>
      <c r="AU11" s="20">
        <f>AU10/AU9</f>
        <v>0.40470019658029538</v>
      </c>
      <c r="AV11" s="20">
        <f>AV10/AV9</f>
        <v>0.24806833558863328</v>
      </c>
      <c r="AW11" s="21"/>
      <c r="AX11" s="20" t="e">
        <f>AX10/AX9</f>
        <v>#DIV/0!</v>
      </c>
      <c r="AY11" s="20">
        <f>AY10/AY9</f>
        <v>0.33144466534128564</v>
      </c>
      <c r="AZ11" s="21"/>
      <c r="BA11" s="20">
        <f>BA10/BA9</f>
        <v>0.40470019658029538</v>
      </c>
      <c r="BB11" s="20">
        <f>BB10/BB9</f>
        <v>0.25579225244029713</v>
      </c>
      <c r="BC11" s="21"/>
      <c r="BD11" s="20" t="e">
        <f>BD10/BD9</f>
        <v>#DIV/0!</v>
      </c>
      <c r="BE11" s="20">
        <f>BE10/BE9</f>
        <v>0.34909991742361685</v>
      </c>
      <c r="BF11" s="21"/>
      <c r="BG11" s="20">
        <f>BG10/BG9</f>
        <v>0.40470019658029538</v>
      </c>
      <c r="BH11" s="20">
        <f>BH10/BH9</f>
        <v>0.27041648331737117</v>
      </c>
      <c r="BI11" s="21"/>
      <c r="BJ11" s="20" t="e">
        <f>BJ10/BJ9</f>
        <v>#DIV/0!</v>
      </c>
      <c r="BK11" s="20">
        <f>BK10/BK9</f>
        <v>0.13</v>
      </c>
      <c r="BL11" s="21"/>
      <c r="BM11" s="20">
        <f>BM10/BM9</f>
        <v>0.40470019658029538</v>
      </c>
      <c r="BN11" s="20">
        <f>BN10/BN9</f>
        <v>0.25724204254919897</v>
      </c>
      <c r="BO11" s="21"/>
      <c r="BP11" s="20" t="e">
        <f>BP10/BP9</f>
        <v>#DIV/0!</v>
      </c>
      <c r="BQ11" s="20" t="e">
        <f>BQ10/BQ9</f>
        <v>#DIV/0!</v>
      </c>
      <c r="BR11" s="21"/>
      <c r="BS11" s="20">
        <f>BS10/BS9</f>
        <v>0.40470019658029538</v>
      </c>
      <c r="BT11" s="20">
        <f>BT10/BT9</f>
        <v>0.25724204254919897</v>
      </c>
      <c r="BU11" s="21"/>
      <c r="BV11" s="20">
        <f>BV10/BV9</f>
        <v>0.45790702112355591</v>
      </c>
      <c r="BW11" s="20">
        <f>BW10/BW9</f>
        <v>0.14047679624347764</v>
      </c>
      <c r="BX11" s="21"/>
      <c r="BY11" s="20">
        <f>BY10/BY9</f>
        <v>0.40916069049750647</v>
      </c>
      <c r="BZ11" s="20">
        <f>BZ10/BZ9</f>
        <v>0.16085640958249256</v>
      </c>
      <c r="CA11" s="21"/>
    </row>
    <row r="12" spans="1:79" s="1" customFormat="1" ht="19.5" customHeight="1">
      <c r="A12" s="117" t="s">
        <v>14</v>
      </c>
      <c r="B12" s="114">
        <v>2605</v>
      </c>
      <c r="C12" s="32" t="s">
        <v>42</v>
      </c>
      <c r="D12" s="22">
        <v>1370356.4</v>
      </c>
      <c r="E12" s="22">
        <v>200</v>
      </c>
      <c r="F12" s="22">
        <v>0</v>
      </c>
      <c r="G12" s="22">
        <v>0</v>
      </c>
      <c r="H12" s="22">
        <v>43048</v>
      </c>
      <c r="I12" s="22">
        <v>15</v>
      </c>
      <c r="J12" s="22">
        <v>0</v>
      </c>
      <c r="K12" s="22">
        <v>0</v>
      </c>
      <c r="L12" s="22">
        <v>0</v>
      </c>
      <c r="M12" s="15" t="e">
        <f t="shared" si="0"/>
        <v>#DIV/0!</v>
      </c>
      <c r="N12" s="23">
        <f>Q12-K12</f>
        <v>0</v>
      </c>
      <c r="O12" s="22">
        <f>R12-L12</f>
        <v>0</v>
      </c>
      <c r="P12" s="15" t="e">
        <f t="shared" si="1"/>
        <v>#DIV/0!</v>
      </c>
      <c r="Q12" s="22">
        <v>0</v>
      </c>
      <c r="R12" s="22">
        <v>0</v>
      </c>
      <c r="S12" s="15" t="e">
        <f t="shared" si="2"/>
        <v>#DIV/0!</v>
      </c>
      <c r="T12" s="23">
        <f>W12-Q12</f>
        <v>0</v>
      </c>
      <c r="U12" s="22">
        <f>X12-R12</f>
        <v>0</v>
      </c>
      <c r="V12" s="15" t="e">
        <f t="shared" ref="V12:V13" si="45">(U12/T12-1)*100</f>
        <v>#DIV/0!</v>
      </c>
      <c r="W12" s="22">
        <v>0</v>
      </c>
      <c r="X12" s="22">
        <v>0</v>
      </c>
      <c r="Y12" s="15" t="e">
        <f t="shared" ref="Y12:Y13" si="46">(X12/W12-1)*100</f>
        <v>#DIV/0!</v>
      </c>
      <c r="Z12" s="23">
        <f>AC12-W12</f>
        <v>0</v>
      </c>
      <c r="AA12" s="22">
        <f>AD12-X12</f>
        <v>0</v>
      </c>
      <c r="AB12" s="15" t="e">
        <f t="shared" ref="AB12:AB13" si="47">(AA12/Z12-1)*100</f>
        <v>#DIV/0!</v>
      </c>
      <c r="AC12" s="22">
        <v>0</v>
      </c>
      <c r="AD12" s="22">
        <v>0</v>
      </c>
      <c r="AE12" s="15" t="e">
        <f t="shared" ref="AE12:AE13" si="48">(AD12/AC12-1)*100</f>
        <v>#DIV/0!</v>
      </c>
      <c r="AF12" s="23">
        <f>AI12-AC12</f>
        <v>0</v>
      </c>
      <c r="AG12" s="22">
        <f>AJ12-AD12</f>
        <v>0</v>
      </c>
      <c r="AH12" s="15" t="e">
        <f t="shared" ref="AH12:AH13" si="49">(AG12/AF12-1)*100</f>
        <v>#DIV/0!</v>
      </c>
      <c r="AI12" s="22">
        <v>0</v>
      </c>
      <c r="AJ12" s="22">
        <v>0</v>
      </c>
      <c r="AK12" s="15" t="e">
        <f t="shared" ref="AK12:AK13" si="50">(AJ12/AI12-1)*100</f>
        <v>#DIV/0!</v>
      </c>
      <c r="AL12" s="23">
        <f>AO12-AI12</f>
        <v>0</v>
      </c>
      <c r="AM12" s="22">
        <f>AP12-AJ12</f>
        <v>2</v>
      </c>
      <c r="AN12" s="15" t="e">
        <f t="shared" ref="AN12:AN13" si="51">(AM12/AL12-1)*100</f>
        <v>#DIV/0!</v>
      </c>
      <c r="AO12" s="22">
        <v>0</v>
      </c>
      <c r="AP12" s="22">
        <v>2</v>
      </c>
      <c r="AQ12" s="15" t="e">
        <f t="shared" ref="AQ12:AQ13" si="52">(AP12/AO12-1)*100</f>
        <v>#DIV/0!</v>
      </c>
      <c r="AR12" s="23">
        <f>AU12-AO12</f>
        <v>0</v>
      </c>
      <c r="AS12" s="22">
        <f>AV12-AP12</f>
        <v>0</v>
      </c>
      <c r="AT12" s="15" t="e">
        <f t="shared" ref="AT12:AT13" si="53">(AS12/AR12-1)*100</f>
        <v>#DIV/0!</v>
      </c>
      <c r="AU12" s="22">
        <v>0</v>
      </c>
      <c r="AV12" s="22">
        <v>2</v>
      </c>
      <c r="AW12" s="15" t="e">
        <f t="shared" ref="AW12:AW13" si="54">(AV12/AU12-1)*100</f>
        <v>#DIV/0!</v>
      </c>
      <c r="AX12" s="23">
        <f>BA12-AU12</f>
        <v>0</v>
      </c>
      <c r="AY12" s="22">
        <f>BB12-AV12</f>
        <v>0</v>
      </c>
      <c r="AZ12" s="15" t="e">
        <f t="shared" ref="AZ12:AZ13" si="55">(AY12/AX12-1)*100</f>
        <v>#DIV/0!</v>
      </c>
      <c r="BA12" s="22">
        <v>0</v>
      </c>
      <c r="BB12" s="22">
        <v>2</v>
      </c>
      <c r="BC12" s="15" t="e">
        <f t="shared" ref="BC12:BC13" si="56">(BB12/BA12-1)*100</f>
        <v>#DIV/0!</v>
      </c>
      <c r="BD12" s="23">
        <f>BG12-BA12</f>
        <v>0</v>
      </c>
      <c r="BE12" s="22">
        <f>BH12-BB12</f>
        <v>0</v>
      </c>
      <c r="BF12" s="15" t="e">
        <f t="shared" ref="BF12:BF13" si="57">(BE12/BD12-1)*100</f>
        <v>#DIV/0!</v>
      </c>
      <c r="BG12" s="22">
        <v>0</v>
      </c>
      <c r="BH12" s="22">
        <v>2</v>
      </c>
      <c r="BI12" s="15" t="e">
        <f t="shared" ref="BI12:BI13" si="58">(BH12/BG12-1)*100</f>
        <v>#DIV/0!</v>
      </c>
      <c r="BJ12" s="23">
        <f>BM12-BG12</f>
        <v>0</v>
      </c>
      <c r="BK12" s="22">
        <f>BN12-BH12</f>
        <v>0</v>
      </c>
      <c r="BL12" s="15" t="e">
        <f t="shared" ref="BL12:BL13" si="59">(BK12/BJ12-1)*100</f>
        <v>#DIV/0!</v>
      </c>
      <c r="BM12" s="22">
        <v>0</v>
      </c>
      <c r="BN12" s="22">
        <v>2</v>
      </c>
      <c r="BO12" s="15" t="e">
        <f t="shared" ref="BO12:BO13" si="60">(BN12/BM12-1)*100</f>
        <v>#DIV/0!</v>
      </c>
      <c r="BP12" s="23">
        <f>BS12-BM12</f>
        <v>0</v>
      </c>
      <c r="BQ12" s="22">
        <f>BT12-BN12</f>
        <v>0</v>
      </c>
      <c r="BR12" s="15" t="e">
        <f t="shared" ref="BR12:BR13" si="61">(BQ12/BP12-1)*100</f>
        <v>#DIV/0!</v>
      </c>
      <c r="BS12" s="22">
        <v>0</v>
      </c>
      <c r="BT12" s="22">
        <v>2</v>
      </c>
      <c r="BU12" s="15" t="e">
        <f t="shared" ref="BU12:BU13" si="62">(BT12/BS12-1)*100</f>
        <v>#DIV/0!</v>
      </c>
      <c r="BV12" s="23">
        <f>BY12-BS12</f>
        <v>0</v>
      </c>
      <c r="BW12" s="22">
        <f>BZ12-BT12</f>
        <v>0</v>
      </c>
      <c r="BX12" s="15" t="e">
        <f t="shared" ref="BX12:BX13" si="63">(BW12/BV12-1)*100</f>
        <v>#DIV/0!</v>
      </c>
      <c r="BY12" s="22">
        <v>0</v>
      </c>
      <c r="BZ12" s="22">
        <v>2</v>
      </c>
      <c r="CA12" s="15" t="e">
        <f t="shared" ref="CA12:CA13" si="64">(BZ12/BY12-1)*100</f>
        <v>#DIV/0!</v>
      </c>
    </row>
    <row r="13" spans="1:79" s="1" customFormat="1" ht="19.5" customHeight="1">
      <c r="A13" s="118"/>
      <c r="B13" s="120"/>
      <c r="C13" s="33" t="s">
        <v>50</v>
      </c>
      <c r="D13" s="17">
        <v>141889</v>
      </c>
      <c r="E13" s="17">
        <v>5171</v>
      </c>
      <c r="F13" s="17">
        <v>0</v>
      </c>
      <c r="G13" s="17">
        <v>0</v>
      </c>
      <c r="H13" s="17">
        <v>175907</v>
      </c>
      <c r="I13" s="17">
        <v>4807</v>
      </c>
      <c r="J13" s="17">
        <v>0</v>
      </c>
      <c r="K13" s="17">
        <v>0</v>
      </c>
      <c r="L13" s="17">
        <v>0</v>
      </c>
      <c r="M13" s="18" t="e">
        <f t="shared" si="0"/>
        <v>#DIV/0!</v>
      </c>
      <c r="N13" s="14">
        <f>Q13-K13</f>
        <v>0</v>
      </c>
      <c r="O13" s="14">
        <f>R13-L13</f>
        <v>0</v>
      </c>
      <c r="P13" s="18" t="e">
        <f t="shared" si="1"/>
        <v>#DIV/0!</v>
      </c>
      <c r="Q13" s="17">
        <v>0</v>
      </c>
      <c r="R13" s="17">
        <v>0</v>
      </c>
      <c r="S13" s="18" t="e">
        <f t="shared" si="2"/>
        <v>#DIV/0!</v>
      </c>
      <c r="T13" s="14">
        <f>W13-Q13</f>
        <v>0</v>
      </c>
      <c r="U13" s="14">
        <f>X13-R13</f>
        <v>0</v>
      </c>
      <c r="V13" s="18" t="e">
        <f t="shared" si="45"/>
        <v>#DIV/0!</v>
      </c>
      <c r="W13" s="17">
        <v>0</v>
      </c>
      <c r="X13" s="17">
        <v>0</v>
      </c>
      <c r="Y13" s="18" t="e">
        <f t="shared" si="46"/>
        <v>#DIV/0!</v>
      </c>
      <c r="Z13" s="14">
        <f>AC13-W13</f>
        <v>0</v>
      </c>
      <c r="AA13" s="14">
        <f>AD13-X13</f>
        <v>0</v>
      </c>
      <c r="AB13" s="18" t="e">
        <f t="shared" si="47"/>
        <v>#DIV/0!</v>
      </c>
      <c r="AC13" s="17">
        <v>0</v>
      </c>
      <c r="AD13" s="17">
        <v>0</v>
      </c>
      <c r="AE13" s="18" t="e">
        <f t="shared" si="48"/>
        <v>#DIV/0!</v>
      </c>
      <c r="AF13" s="14">
        <f>AI13-AC13</f>
        <v>0</v>
      </c>
      <c r="AG13" s="14">
        <f>AJ13-AD13</f>
        <v>0</v>
      </c>
      <c r="AH13" s="18" t="e">
        <f t="shared" si="49"/>
        <v>#DIV/0!</v>
      </c>
      <c r="AI13" s="17">
        <v>0</v>
      </c>
      <c r="AJ13" s="17">
        <v>0</v>
      </c>
      <c r="AK13" s="18" t="e">
        <f t="shared" si="50"/>
        <v>#DIV/0!</v>
      </c>
      <c r="AL13" s="14">
        <f>AO13-AI13</f>
        <v>0</v>
      </c>
      <c r="AM13" s="14">
        <f>AP13-AJ13</f>
        <v>65</v>
      </c>
      <c r="AN13" s="18" t="e">
        <f t="shared" si="51"/>
        <v>#DIV/0!</v>
      </c>
      <c r="AO13" s="17">
        <v>0</v>
      </c>
      <c r="AP13" s="17">
        <v>65</v>
      </c>
      <c r="AQ13" s="18" t="e">
        <f t="shared" si="52"/>
        <v>#DIV/0!</v>
      </c>
      <c r="AR13" s="14">
        <f>AU13-AO13</f>
        <v>0</v>
      </c>
      <c r="AS13" s="14">
        <f>AV13-AP13</f>
        <v>0</v>
      </c>
      <c r="AT13" s="18" t="e">
        <f t="shared" si="53"/>
        <v>#DIV/0!</v>
      </c>
      <c r="AU13" s="17">
        <v>0</v>
      </c>
      <c r="AV13" s="17">
        <v>65</v>
      </c>
      <c r="AW13" s="18" t="e">
        <f t="shared" si="54"/>
        <v>#DIV/0!</v>
      </c>
      <c r="AX13" s="14">
        <f>BA13-AU13</f>
        <v>0</v>
      </c>
      <c r="AY13" s="14">
        <f>BB13-AV13</f>
        <v>0</v>
      </c>
      <c r="AZ13" s="18" t="e">
        <f t="shared" si="55"/>
        <v>#DIV/0!</v>
      </c>
      <c r="BA13" s="17">
        <v>0</v>
      </c>
      <c r="BB13" s="17">
        <v>65</v>
      </c>
      <c r="BC13" s="18" t="e">
        <f t="shared" si="56"/>
        <v>#DIV/0!</v>
      </c>
      <c r="BD13" s="14">
        <f>BG13-BA13</f>
        <v>0</v>
      </c>
      <c r="BE13" s="14">
        <f>BH13-BB13</f>
        <v>0</v>
      </c>
      <c r="BF13" s="18" t="e">
        <f t="shared" si="57"/>
        <v>#DIV/0!</v>
      </c>
      <c r="BG13" s="17">
        <v>0</v>
      </c>
      <c r="BH13" s="17">
        <v>65</v>
      </c>
      <c r="BI13" s="18" t="e">
        <f t="shared" si="58"/>
        <v>#DIV/0!</v>
      </c>
      <c r="BJ13" s="14">
        <f>BM13-BG13</f>
        <v>0</v>
      </c>
      <c r="BK13" s="14">
        <f>BN13-BH13</f>
        <v>0</v>
      </c>
      <c r="BL13" s="18" t="e">
        <f t="shared" si="59"/>
        <v>#DIV/0!</v>
      </c>
      <c r="BM13" s="17">
        <v>0</v>
      </c>
      <c r="BN13" s="17">
        <v>65</v>
      </c>
      <c r="BO13" s="18" t="e">
        <f t="shared" si="60"/>
        <v>#DIV/0!</v>
      </c>
      <c r="BP13" s="14">
        <f>BS13-BM13</f>
        <v>0</v>
      </c>
      <c r="BQ13" s="14">
        <f>BT13-BN13</f>
        <v>0</v>
      </c>
      <c r="BR13" s="18" t="e">
        <f t="shared" si="61"/>
        <v>#DIV/0!</v>
      </c>
      <c r="BS13" s="17">
        <v>0</v>
      </c>
      <c r="BT13" s="17">
        <v>65</v>
      </c>
      <c r="BU13" s="18" t="e">
        <f t="shared" si="62"/>
        <v>#DIV/0!</v>
      </c>
      <c r="BV13" s="14">
        <f>BY13-BS13</f>
        <v>0</v>
      </c>
      <c r="BW13" s="14">
        <f>BZ13-BT13</f>
        <v>0</v>
      </c>
      <c r="BX13" s="18" t="e">
        <f t="shared" si="63"/>
        <v>#DIV/0!</v>
      </c>
      <c r="BY13" s="17">
        <v>0</v>
      </c>
      <c r="BZ13" s="17">
        <v>65</v>
      </c>
      <c r="CA13" s="18" t="e">
        <f t="shared" si="64"/>
        <v>#DIV/0!</v>
      </c>
    </row>
    <row r="14" spans="1:79" s="1" customFormat="1" ht="19.5" customHeight="1" thickBot="1">
      <c r="A14" s="119"/>
      <c r="B14" s="121"/>
      <c r="C14" s="34" t="s">
        <v>51</v>
      </c>
      <c r="D14" s="19">
        <f t="shared" ref="D14:L14" si="65">D13/D12</f>
        <v>0.1035416771870442</v>
      </c>
      <c r="E14" s="19">
        <f t="shared" si="65"/>
        <v>25.855</v>
      </c>
      <c r="F14" s="19" t="e">
        <f t="shared" si="65"/>
        <v>#DIV/0!</v>
      </c>
      <c r="G14" s="19" t="e">
        <f t="shared" si="65"/>
        <v>#DIV/0!</v>
      </c>
      <c r="H14" s="20">
        <f>H13/H12</f>
        <v>4.0862990150529646</v>
      </c>
      <c r="I14" s="20">
        <f>I13/I12</f>
        <v>320.46666666666664</v>
      </c>
      <c r="J14" s="20" t="e">
        <f>J13/J12</f>
        <v>#DIV/0!</v>
      </c>
      <c r="K14" s="20" t="e">
        <f t="shared" si="65"/>
        <v>#DIV/0!</v>
      </c>
      <c r="L14" s="20" t="e">
        <f t="shared" si="65"/>
        <v>#DIV/0!</v>
      </c>
      <c r="M14" s="21"/>
      <c r="N14" s="20" t="e">
        <f>N13/N12</f>
        <v>#DIV/0!</v>
      </c>
      <c r="O14" s="20" t="e">
        <f>O13/O12</f>
        <v>#DIV/0!</v>
      </c>
      <c r="P14" s="21"/>
      <c r="Q14" s="20" t="e">
        <f>Q13/Q12</f>
        <v>#DIV/0!</v>
      </c>
      <c r="R14" s="20" t="e">
        <f>R13/R12</f>
        <v>#DIV/0!</v>
      </c>
      <c r="S14" s="21"/>
      <c r="T14" s="20" t="e">
        <f>T13/T12</f>
        <v>#DIV/0!</v>
      </c>
      <c r="U14" s="20" t="e">
        <f>U13/U12</f>
        <v>#DIV/0!</v>
      </c>
      <c r="V14" s="21"/>
      <c r="W14" s="20" t="e">
        <f>W13/W12</f>
        <v>#DIV/0!</v>
      </c>
      <c r="X14" s="20" t="e">
        <f>X13/X12</f>
        <v>#DIV/0!</v>
      </c>
      <c r="Y14" s="21"/>
      <c r="Z14" s="20" t="e">
        <f>Z13/Z12</f>
        <v>#DIV/0!</v>
      </c>
      <c r="AA14" s="20" t="e">
        <f>AA13/AA12</f>
        <v>#DIV/0!</v>
      </c>
      <c r="AB14" s="21"/>
      <c r="AC14" s="20" t="e">
        <f>AC13/AC12</f>
        <v>#DIV/0!</v>
      </c>
      <c r="AD14" s="20" t="e">
        <f>AD13/AD12</f>
        <v>#DIV/0!</v>
      </c>
      <c r="AE14" s="21"/>
      <c r="AF14" s="20" t="e">
        <f>AF13/AF12</f>
        <v>#DIV/0!</v>
      </c>
      <c r="AG14" s="20" t="e">
        <f>AG13/AG12</f>
        <v>#DIV/0!</v>
      </c>
      <c r="AH14" s="21"/>
      <c r="AI14" s="20" t="e">
        <f>AI13/AI12</f>
        <v>#DIV/0!</v>
      </c>
      <c r="AJ14" s="20" t="e">
        <f>AJ13/AJ12</f>
        <v>#DIV/0!</v>
      </c>
      <c r="AK14" s="21"/>
      <c r="AL14" s="20" t="e">
        <f>AL13/AL12</f>
        <v>#DIV/0!</v>
      </c>
      <c r="AM14" s="20">
        <f>AM13/AM12</f>
        <v>32.5</v>
      </c>
      <c r="AN14" s="21"/>
      <c r="AO14" s="20" t="e">
        <f>AO13/AO12</f>
        <v>#DIV/0!</v>
      </c>
      <c r="AP14" s="20">
        <f>AP13/AP12</f>
        <v>32.5</v>
      </c>
      <c r="AQ14" s="21"/>
      <c r="AR14" s="20" t="e">
        <f>AR13/AR12</f>
        <v>#DIV/0!</v>
      </c>
      <c r="AS14" s="20" t="e">
        <f>AS13/AS12</f>
        <v>#DIV/0!</v>
      </c>
      <c r="AT14" s="21"/>
      <c r="AU14" s="20" t="e">
        <f>AU13/AU12</f>
        <v>#DIV/0!</v>
      </c>
      <c r="AV14" s="20">
        <f>AV13/AV12</f>
        <v>32.5</v>
      </c>
      <c r="AW14" s="21"/>
      <c r="AX14" s="20" t="e">
        <f>AX13/AX12</f>
        <v>#DIV/0!</v>
      </c>
      <c r="AY14" s="20" t="e">
        <f>AY13/AY12</f>
        <v>#DIV/0!</v>
      </c>
      <c r="AZ14" s="21"/>
      <c r="BA14" s="20" t="e">
        <f>BA13/BA12</f>
        <v>#DIV/0!</v>
      </c>
      <c r="BB14" s="20">
        <f>BB13/BB12</f>
        <v>32.5</v>
      </c>
      <c r="BC14" s="21"/>
      <c r="BD14" s="20" t="e">
        <f>BD13/BD12</f>
        <v>#DIV/0!</v>
      </c>
      <c r="BE14" s="20" t="e">
        <f>BE13/BE12</f>
        <v>#DIV/0!</v>
      </c>
      <c r="BF14" s="21"/>
      <c r="BG14" s="20" t="e">
        <f>BG13/BG12</f>
        <v>#DIV/0!</v>
      </c>
      <c r="BH14" s="20">
        <f>BH13/BH12</f>
        <v>32.5</v>
      </c>
      <c r="BI14" s="21"/>
      <c r="BJ14" s="20" t="e">
        <f>BJ13/BJ12</f>
        <v>#DIV/0!</v>
      </c>
      <c r="BK14" s="20" t="e">
        <f>BK13/BK12</f>
        <v>#DIV/0!</v>
      </c>
      <c r="BL14" s="21"/>
      <c r="BM14" s="20" t="e">
        <f>BM13/BM12</f>
        <v>#DIV/0!</v>
      </c>
      <c r="BN14" s="20">
        <f>BN13/BN12</f>
        <v>32.5</v>
      </c>
      <c r="BO14" s="21"/>
      <c r="BP14" s="20" t="e">
        <f>BP13/BP12</f>
        <v>#DIV/0!</v>
      </c>
      <c r="BQ14" s="20" t="e">
        <f>BQ13/BQ12</f>
        <v>#DIV/0!</v>
      </c>
      <c r="BR14" s="21"/>
      <c r="BS14" s="20" t="e">
        <f>BS13/BS12</f>
        <v>#DIV/0!</v>
      </c>
      <c r="BT14" s="20">
        <f>BT13/BT12</f>
        <v>32.5</v>
      </c>
      <c r="BU14" s="21"/>
      <c r="BV14" s="20" t="e">
        <f>BV13/BV12</f>
        <v>#DIV/0!</v>
      </c>
      <c r="BW14" s="20" t="e">
        <f>BW13/BW12</f>
        <v>#DIV/0!</v>
      </c>
      <c r="BX14" s="21"/>
      <c r="BY14" s="20" t="e">
        <f>BY13/BY12</f>
        <v>#DIV/0!</v>
      </c>
      <c r="BZ14" s="20">
        <f>BZ13/BZ12</f>
        <v>32.5</v>
      </c>
      <c r="CA14" s="21"/>
    </row>
    <row r="15" spans="1:79" s="1" customFormat="1" ht="19.5" customHeight="1">
      <c r="A15" s="117" t="s">
        <v>15</v>
      </c>
      <c r="B15" s="114">
        <v>2606</v>
      </c>
      <c r="C15" s="32" t="s">
        <v>42</v>
      </c>
      <c r="D15" s="22">
        <v>39000</v>
      </c>
      <c r="E15" s="22">
        <v>0</v>
      </c>
      <c r="F15" s="22">
        <v>828</v>
      </c>
      <c r="G15" s="22">
        <v>163200</v>
      </c>
      <c r="H15" s="22">
        <v>28270</v>
      </c>
      <c r="I15" s="22">
        <v>316420</v>
      </c>
      <c r="J15" s="22">
        <v>428340</v>
      </c>
      <c r="K15" s="22">
        <v>0</v>
      </c>
      <c r="L15" s="22">
        <v>0</v>
      </c>
      <c r="M15" s="15" t="e">
        <f t="shared" si="0"/>
        <v>#DIV/0!</v>
      </c>
      <c r="N15" s="23">
        <f>Q15-K15</f>
        <v>3600</v>
      </c>
      <c r="O15" s="22">
        <f>R15-L15</f>
        <v>17340</v>
      </c>
      <c r="P15" s="15">
        <f t="shared" si="1"/>
        <v>381.66666666666663</v>
      </c>
      <c r="Q15" s="22">
        <v>3600</v>
      </c>
      <c r="R15" s="22">
        <v>17340</v>
      </c>
      <c r="S15" s="15">
        <f t="shared" si="2"/>
        <v>381.66666666666663</v>
      </c>
      <c r="T15" s="23">
        <f>W15-Q15</f>
        <v>5000</v>
      </c>
      <c r="U15" s="22">
        <f>X15-R15</f>
        <v>15343</v>
      </c>
      <c r="V15" s="15">
        <f t="shared" ref="V15:V16" si="66">(U15/T15-1)*100</f>
        <v>206.86</v>
      </c>
      <c r="W15" s="22">
        <v>8600</v>
      </c>
      <c r="X15" s="22">
        <v>32683</v>
      </c>
      <c r="Y15" s="15">
        <f t="shared" ref="Y15:Y16" si="67">(X15/W15-1)*100</f>
        <v>280.03488372093022</v>
      </c>
      <c r="Z15" s="23">
        <f>AC15-W15</f>
        <v>30000</v>
      </c>
      <c r="AA15" s="22">
        <f>AD15-X15</f>
        <v>0</v>
      </c>
      <c r="AB15" s="15">
        <f t="shared" ref="AB15:AB16" si="68">(AA15/Z15-1)*100</f>
        <v>-100</v>
      </c>
      <c r="AC15" s="22">
        <v>38600</v>
      </c>
      <c r="AD15" s="22">
        <v>32683</v>
      </c>
      <c r="AE15" s="15">
        <f t="shared" ref="AE15:AE16" si="69">(AD15/AC15-1)*100</f>
        <v>-15.329015544041447</v>
      </c>
      <c r="AF15" s="23">
        <f>AI15-AC15</f>
        <v>4000</v>
      </c>
      <c r="AG15" s="22">
        <f>AJ15-AD15</f>
        <v>40000</v>
      </c>
      <c r="AH15" s="15">
        <f t="shared" ref="AH15:AH16" si="70">(AG15/AF15-1)*100</f>
        <v>900</v>
      </c>
      <c r="AI15" s="22">
        <v>42600</v>
      </c>
      <c r="AJ15" s="22">
        <v>72683</v>
      </c>
      <c r="AK15" s="15">
        <f t="shared" ref="AK15:AK16" si="71">(AJ15/AI15-1)*100</f>
        <v>70.617370892018783</v>
      </c>
      <c r="AL15" s="23">
        <f>AO15-AI15</f>
        <v>21360</v>
      </c>
      <c r="AM15" s="22">
        <f>AP15-AJ15</f>
        <v>0</v>
      </c>
      <c r="AN15" s="15">
        <f t="shared" ref="AN15:AN16" si="72">(AM15/AL15-1)*100</f>
        <v>-100</v>
      </c>
      <c r="AO15" s="22">
        <v>63960</v>
      </c>
      <c r="AP15" s="22">
        <v>72683</v>
      </c>
      <c r="AQ15" s="15">
        <f t="shared" ref="AQ15:AQ16" si="73">(AP15/AO15-1)*100</f>
        <v>13.63821138211383</v>
      </c>
      <c r="AR15" s="23">
        <f>AU15-AO15</f>
        <v>221828</v>
      </c>
      <c r="AS15" s="22">
        <f>AV15-AP15</f>
        <v>0</v>
      </c>
      <c r="AT15" s="15">
        <f t="shared" ref="AT15:AT16" si="74">(AS15/AR15-1)*100</f>
        <v>-100</v>
      </c>
      <c r="AU15" s="22">
        <v>285788</v>
      </c>
      <c r="AV15" s="22">
        <v>72683</v>
      </c>
      <c r="AW15" s="15">
        <f t="shared" ref="AW15:AW16" si="75">(AV15/AU15-1)*100</f>
        <v>-74.567511582011846</v>
      </c>
      <c r="AX15" s="23">
        <f>BA15-AU15</f>
        <v>100000</v>
      </c>
      <c r="AY15" s="22">
        <f>BB15-AV15</f>
        <v>18287</v>
      </c>
      <c r="AZ15" s="15">
        <f t="shared" ref="AZ15:AZ16" si="76">(AY15/AX15-1)*100</f>
        <v>-81.713000000000008</v>
      </c>
      <c r="BA15" s="22">
        <v>385788</v>
      </c>
      <c r="BB15" s="22">
        <v>90970</v>
      </c>
      <c r="BC15" s="15">
        <f t="shared" ref="BC15:BC16" si="77">(BB15/BA15-1)*100</f>
        <v>-76.419691644115417</v>
      </c>
      <c r="BD15" s="23">
        <f>BG15-BA15</f>
        <v>5724</v>
      </c>
      <c r="BE15" s="22">
        <f>BH15-BB15</f>
        <v>14438</v>
      </c>
      <c r="BF15" s="15">
        <f t="shared" ref="BF15:BF16" si="78">(BE15/BD15-1)*100</f>
        <v>152.23619846261354</v>
      </c>
      <c r="BG15" s="22">
        <v>391512</v>
      </c>
      <c r="BH15" s="22">
        <v>105408</v>
      </c>
      <c r="BI15" s="15">
        <f t="shared" ref="BI15:BI16" si="79">(BH15/BG15-1)*100</f>
        <v>-73.076687304603681</v>
      </c>
      <c r="BJ15" s="23">
        <f>BM15-BG15</f>
        <v>25191</v>
      </c>
      <c r="BK15" s="22">
        <f>BN15-BH15</f>
        <v>9327</v>
      </c>
      <c r="BL15" s="15">
        <f t="shared" ref="BL15:BL16" si="80">(BK15/BJ15-1)*100</f>
        <v>-62.974871978087407</v>
      </c>
      <c r="BM15" s="22">
        <v>416703</v>
      </c>
      <c r="BN15" s="22">
        <v>114735</v>
      </c>
      <c r="BO15" s="15">
        <f t="shared" ref="BO15:BO16" si="81">(BN15/BM15-1)*100</f>
        <v>-72.466000964715874</v>
      </c>
      <c r="BP15" s="23">
        <f>BS15-BM15</f>
        <v>8820</v>
      </c>
      <c r="BQ15" s="22">
        <f>BT15-BN15</f>
        <v>8101</v>
      </c>
      <c r="BR15" s="15">
        <f t="shared" ref="BR15:BR16" si="82">(BQ15/BP15-1)*100</f>
        <v>-8.1519274376417261</v>
      </c>
      <c r="BS15" s="22">
        <v>425523</v>
      </c>
      <c r="BT15" s="22">
        <v>122836</v>
      </c>
      <c r="BU15" s="15">
        <f t="shared" ref="BU15:BU16" si="83">(BT15/BS15-1)*100</f>
        <v>-71.132935234993184</v>
      </c>
      <c r="BV15" s="23">
        <f>BY15-BS15</f>
        <v>2817</v>
      </c>
      <c r="BW15" s="22">
        <f>BZ15-BT15</f>
        <v>0</v>
      </c>
      <c r="BX15" s="15">
        <f t="shared" ref="BX15:BX16" si="84">(BW15/BV15-1)*100</f>
        <v>-100</v>
      </c>
      <c r="BY15" s="22">
        <v>428340</v>
      </c>
      <c r="BZ15" s="22">
        <v>122836</v>
      </c>
      <c r="CA15" s="15">
        <f t="shared" ref="CA15:CA16" si="85">(BZ15/BY15-1)*100</f>
        <v>-71.322780968389594</v>
      </c>
    </row>
    <row r="16" spans="1:79" s="1" customFormat="1" ht="19.5" customHeight="1">
      <c r="A16" s="118"/>
      <c r="B16" s="120"/>
      <c r="C16" s="33" t="s">
        <v>50</v>
      </c>
      <c r="D16" s="17">
        <v>15210</v>
      </c>
      <c r="E16" s="17">
        <v>0</v>
      </c>
      <c r="F16" s="17">
        <v>11342</v>
      </c>
      <c r="G16" s="17">
        <v>61881</v>
      </c>
      <c r="H16" s="17">
        <v>8347</v>
      </c>
      <c r="I16" s="17">
        <v>53876</v>
      </c>
      <c r="J16" s="17">
        <v>149735</v>
      </c>
      <c r="K16" s="17">
        <v>0</v>
      </c>
      <c r="L16" s="17">
        <v>0</v>
      </c>
      <c r="M16" s="18" t="e">
        <f t="shared" si="0"/>
        <v>#DIV/0!</v>
      </c>
      <c r="N16" s="14">
        <f>Q16-K16</f>
        <v>596</v>
      </c>
      <c r="O16" s="14">
        <f>R16-L16</f>
        <v>4012</v>
      </c>
      <c r="P16" s="18">
        <f t="shared" si="1"/>
        <v>573.15436241610746</v>
      </c>
      <c r="Q16" s="17">
        <v>596</v>
      </c>
      <c r="R16" s="17">
        <v>4012</v>
      </c>
      <c r="S16" s="18">
        <f t="shared" si="2"/>
        <v>573.15436241610746</v>
      </c>
      <c r="T16" s="14">
        <f>W16-Q16</f>
        <v>1824</v>
      </c>
      <c r="U16" s="14">
        <f>X16-R16</f>
        <v>2648</v>
      </c>
      <c r="V16" s="18">
        <f t="shared" si="66"/>
        <v>45.175438596491226</v>
      </c>
      <c r="W16" s="17">
        <v>2420</v>
      </c>
      <c r="X16" s="17">
        <v>6660</v>
      </c>
      <c r="Y16" s="18">
        <f t="shared" si="67"/>
        <v>175.20661157024793</v>
      </c>
      <c r="Z16" s="14">
        <f>AC16-W16</f>
        <v>5133</v>
      </c>
      <c r="AA16" s="14">
        <f>AD16-X16</f>
        <v>0</v>
      </c>
      <c r="AB16" s="18">
        <f t="shared" si="68"/>
        <v>-100</v>
      </c>
      <c r="AC16" s="17">
        <v>7553</v>
      </c>
      <c r="AD16" s="17">
        <v>6660</v>
      </c>
      <c r="AE16" s="18">
        <f t="shared" si="69"/>
        <v>-11.823116642393749</v>
      </c>
      <c r="AF16" s="14">
        <f>AI16-AC16</f>
        <v>1531</v>
      </c>
      <c r="AG16" s="14">
        <f>AJ16-AD16</f>
        <v>14615</v>
      </c>
      <c r="AH16" s="18">
        <f t="shared" si="70"/>
        <v>854.60483344219472</v>
      </c>
      <c r="AI16" s="17">
        <v>9084</v>
      </c>
      <c r="AJ16" s="17">
        <v>21275</v>
      </c>
      <c r="AK16" s="18">
        <f t="shared" si="71"/>
        <v>134.20299427564947</v>
      </c>
      <c r="AL16" s="14">
        <f>AO16-AI16</f>
        <v>3548</v>
      </c>
      <c r="AM16" s="14">
        <f>AP16-AJ16</f>
        <v>0</v>
      </c>
      <c r="AN16" s="18">
        <f t="shared" si="72"/>
        <v>-100</v>
      </c>
      <c r="AO16" s="17">
        <v>12632</v>
      </c>
      <c r="AP16" s="17">
        <v>21275</v>
      </c>
      <c r="AQ16" s="18">
        <f t="shared" si="73"/>
        <v>68.421469284357201</v>
      </c>
      <c r="AR16" s="14">
        <f>AU16-AO16</f>
        <v>84998</v>
      </c>
      <c r="AS16" s="14">
        <f>AV16-AP16</f>
        <v>0</v>
      </c>
      <c r="AT16" s="18">
        <f t="shared" si="74"/>
        <v>-100</v>
      </c>
      <c r="AU16" s="17">
        <v>97630</v>
      </c>
      <c r="AV16" s="17">
        <v>21275</v>
      </c>
      <c r="AW16" s="18">
        <f t="shared" si="75"/>
        <v>-78.208542456212228</v>
      </c>
      <c r="AX16" s="14">
        <f>BA16-AU16</f>
        <v>38500</v>
      </c>
      <c r="AY16" s="14">
        <f>BB16-AV16</f>
        <v>5376</v>
      </c>
      <c r="AZ16" s="18">
        <f t="shared" si="76"/>
        <v>-86.036363636363632</v>
      </c>
      <c r="BA16" s="17">
        <v>136130</v>
      </c>
      <c r="BB16" s="17">
        <v>26651</v>
      </c>
      <c r="BC16" s="18">
        <f t="shared" si="77"/>
        <v>-80.42239036215382</v>
      </c>
      <c r="BD16" s="14">
        <f>BG16-BA16</f>
        <v>1619</v>
      </c>
      <c r="BE16" s="14">
        <f>BH16-BB16</f>
        <v>6200</v>
      </c>
      <c r="BF16" s="18">
        <f t="shared" si="78"/>
        <v>282.95243977764051</v>
      </c>
      <c r="BG16" s="17">
        <v>137749</v>
      </c>
      <c r="BH16" s="17">
        <v>32851</v>
      </c>
      <c r="BI16" s="18">
        <f t="shared" si="79"/>
        <v>-76.151551009444717</v>
      </c>
      <c r="BJ16" s="14">
        <f>BM16-BG16</f>
        <v>10095</v>
      </c>
      <c r="BK16" s="14">
        <f>BN16-BH16</f>
        <v>2874</v>
      </c>
      <c r="BL16" s="18">
        <f t="shared" si="80"/>
        <v>-71.530460624071324</v>
      </c>
      <c r="BM16" s="17">
        <v>147844</v>
      </c>
      <c r="BN16" s="17">
        <v>35725</v>
      </c>
      <c r="BO16" s="18">
        <f t="shared" si="81"/>
        <v>-75.836016341549197</v>
      </c>
      <c r="BP16" s="14">
        <f>BS16-BM16</f>
        <v>1423</v>
      </c>
      <c r="BQ16" s="14">
        <f>BT16-BN16</f>
        <v>948</v>
      </c>
      <c r="BR16" s="18">
        <f t="shared" si="82"/>
        <v>-33.380182712579057</v>
      </c>
      <c r="BS16" s="17">
        <v>149267</v>
      </c>
      <c r="BT16" s="17">
        <v>36673</v>
      </c>
      <c r="BU16" s="18">
        <f t="shared" si="83"/>
        <v>-75.431274159727195</v>
      </c>
      <c r="BV16" s="14">
        <f>BY16-BS16</f>
        <v>468</v>
      </c>
      <c r="BW16" s="14">
        <f>BZ16-BT16</f>
        <v>0</v>
      </c>
      <c r="BX16" s="18">
        <f t="shared" si="84"/>
        <v>-100</v>
      </c>
      <c r="BY16" s="17">
        <v>149735</v>
      </c>
      <c r="BZ16" s="17">
        <v>36673</v>
      </c>
      <c r="CA16" s="18">
        <f t="shared" si="85"/>
        <v>-75.508064246836071</v>
      </c>
    </row>
    <row r="17" spans="1:79" s="1" customFormat="1" ht="19.5" customHeight="1" thickBot="1">
      <c r="A17" s="119"/>
      <c r="B17" s="121"/>
      <c r="C17" s="34" t="s">
        <v>51</v>
      </c>
      <c r="D17" s="19">
        <f>D16/D15</f>
        <v>0.39</v>
      </c>
      <c r="E17" s="19" t="e">
        <f>E16/E15</f>
        <v>#DIV/0!</v>
      </c>
      <c r="F17" s="19">
        <f t="shared" ref="F17:R17" si="86">F16/F15</f>
        <v>13.698067632850242</v>
      </c>
      <c r="G17" s="19">
        <f>G16/G15</f>
        <v>0.37917279411764704</v>
      </c>
      <c r="H17" s="19">
        <f>H16/H15</f>
        <v>0.29525999292536259</v>
      </c>
      <c r="I17" s="19">
        <f t="shared" ref="I17:J17" si="87">I16/I15</f>
        <v>0.17026736615890273</v>
      </c>
      <c r="J17" s="19">
        <f t="shared" si="87"/>
        <v>0.34957043470140542</v>
      </c>
      <c r="K17" s="19" t="e">
        <f t="shared" si="86"/>
        <v>#DIV/0!</v>
      </c>
      <c r="L17" s="19" t="e">
        <f t="shared" si="86"/>
        <v>#DIV/0!</v>
      </c>
      <c r="M17" s="21"/>
      <c r="N17" s="19">
        <f t="shared" si="86"/>
        <v>0.16555555555555557</v>
      </c>
      <c r="O17" s="19">
        <f t="shared" si="86"/>
        <v>0.23137254901960785</v>
      </c>
      <c r="P17" s="21"/>
      <c r="Q17" s="19">
        <f t="shared" si="86"/>
        <v>0.16555555555555557</v>
      </c>
      <c r="R17" s="19">
        <f t="shared" si="86"/>
        <v>0.23137254901960785</v>
      </c>
      <c r="S17" s="21"/>
      <c r="T17" s="19">
        <f t="shared" ref="T17:U17" si="88">T16/T15</f>
        <v>0.36480000000000001</v>
      </c>
      <c r="U17" s="19">
        <f t="shared" si="88"/>
        <v>0.17258684742227726</v>
      </c>
      <c r="V17" s="21"/>
      <c r="W17" s="19">
        <f t="shared" ref="W17:X17" si="89">W16/W15</f>
        <v>0.28139534883720929</v>
      </c>
      <c r="X17" s="19">
        <f t="shared" si="89"/>
        <v>0.20377566318881377</v>
      </c>
      <c r="Y17" s="21"/>
      <c r="Z17" s="19">
        <f t="shared" ref="Z17:AA17" si="90">Z16/Z15</f>
        <v>0.1711</v>
      </c>
      <c r="AA17" s="19" t="e">
        <f t="shared" si="90"/>
        <v>#DIV/0!</v>
      </c>
      <c r="AB17" s="21"/>
      <c r="AC17" s="19">
        <f t="shared" ref="AC17:AD17" si="91">AC16/AC15</f>
        <v>0.19567357512953368</v>
      </c>
      <c r="AD17" s="19">
        <f t="shared" si="91"/>
        <v>0.20377566318881377</v>
      </c>
      <c r="AE17" s="21"/>
      <c r="AF17" s="19">
        <f t="shared" ref="AF17:AG17" si="92">AF16/AF15</f>
        <v>0.38274999999999998</v>
      </c>
      <c r="AG17" s="19">
        <f t="shared" si="92"/>
        <v>0.36537500000000001</v>
      </c>
      <c r="AH17" s="21"/>
      <c r="AI17" s="19">
        <f t="shared" ref="AI17:AJ17" si="93">AI16/AI15</f>
        <v>0.21323943661971831</v>
      </c>
      <c r="AJ17" s="19">
        <f t="shared" si="93"/>
        <v>0.29270943686969442</v>
      </c>
      <c r="AK17" s="21"/>
      <c r="AL17" s="19">
        <f t="shared" ref="AL17:AM17" si="94">AL16/AL15</f>
        <v>0.16610486891385767</v>
      </c>
      <c r="AM17" s="19" t="e">
        <f t="shared" si="94"/>
        <v>#DIV/0!</v>
      </c>
      <c r="AN17" s="21"/>
      <c r="AO17" s="19">
        <f t="shared" ref="AO17:AP17" si="95">AO16/AO15</f>
        <v>0.19749843652282675</v>
      </c>
      <c r="AP17" s="19">
        <f t="shared" si="95"/>
        <v>0.29270943686969442</v>
      </c>
      <c r="AQ17" s="21"/>
      <c r="AR17" s="19">
        <f t="shared" ref="AR17:AS17" si="96">AR16/AR15</f>
        <v>0.3831707449014552</v>
      </c>
      <c r="AS17" s="19" t="e">
        <f t="shared" si="96"/>
        <v>#DIV/0!</v>
      </c>
      <c r="AT17" s="21"/>
      <c r="AU17" s="19">
        <f t="shared" ref="AU17:AV17" si="97">AU16/AU15</f>
        <v>0.34161686284938486</v>
      </c>
      <c r="AV17" s="19">
        <f t="shared" si="97"/>
        <v>0.29270943686969442</v>
      </c>
      <c r="AW17" s="21"/>
      <c r="AX17" s="19">
        <f t="shared" ref="AX17:AY17" si="98">AX16/AX15</f>
        <v>0.38500000000000001</v>
      </c>
      <c r="AY17" s="19">
        <f t="shared" si="98"/>
        <v>0.29397932957838901</v>
      </c>
      <c r="AZ17" s="21"/>
      <c r="BA17" s="19">
        <f t="shared" ref="BA17:BB17" si="99">BA16/BA15</f>
        <v>0.35286219374371419</v>
      </c>
      <c r="BB17" s="19">
        <f t="shared" si="99"/>
        <v>0.29296471364185994</v>
      </c>
      <c r="BC17" s="21"/>
      <c r="BD17" s="19">
        <f t="shared" ref="BD17:BE17" si="100">BD16/BD15</f>
        <v>0.2828441649196366</v>
      </c>
      <c r="BE17" s="19">
        <f t="shared" si="100"/>
        <v>0.42942235766726694</v>
      </c>
      <c r="BF17" s="21"/>
      <c r="BG17" s="19">
        <f t="shared" ref="BG17:BH17" si="101">BG16/BG15</f>
        <v>0.35183851325119025</v>
      </c>
      <c r="BH17" s="19">
        <f t="shared" si="101"/>
        <v>0.31165566180935034</v>
      </c>
      <c r="BI17" s="21"/>
      <c r="BJ17" s="19">
        <f t="shared" ref="BJ17:BK17" si="102">BJ16/BJ15</f>
        <v>0.40073835893771587</v>
      </c>
      <c r="BK17" s="19">
        <f t="shared" si="102"/>
        <v>0.30813766484400129</v>
      </c>
      <c r="BL17" s="21"/>
      <c r="BM17" s="19">
        <f t="shared" ref="BM17:BN17" si="103">BM16/BM15</f>
        <v>0.35479466190548187</v>
      </c>
      <c r="BN17" s="19">
        <f t="shared" si="103"/>
        <v>0.31136967795354514</v>
      </c>
      <c r="BO17" s="21"/>
      <c r="BP17" s="19">
        <f t="shared" ref="BP17:BQ17" si="104">BP16/BP15</f>
        <v>0.16133786848072562</v>
      </c>
      <c r="BQ17" s="19">
        <f t="shared" si="104"/>
        <v>0.11702258980372794</v>
      </c>
      <c r="BR17" s="21"/>
      <c r="BS17" s="19">
        <f t="shared" ref="BS17:BT17" si="105">BS16/BS15</f>
        <v>0.3507847989415378</v>
      </c>
      <c r="BT17" s="19">
        <f t="shared" si="105"/>
        <v>0.29855254160018235</v>
      </c>
      <c r="BU17" s="21"/>
      <c r="BV17" s="19">
        <f t="shared" ref="BV17:BW17" si="106">BV16/BV15</f>
        <v>0.16613418530351437</v>
      </c>
      <c r="BW17" s="19" t="e">
        <f t="shared" si="106"/>
        <v>#DIV/0!</v>
      </c>
      <c r="BX17" s="21"/>
      <c r="BY17" s="19">
        <f t="shared" ref="BY17:BZ17" si="107">BY16/BY15</f>
        <v>0.34957043470140542</v>
      </c>
      <c r="BZ17" s="19">
        <f t="shared" si="107"/>
        <v>0.29855254160018235</v>
      </c>
      <c r="CA17" s="21"/>
    </row>
    <row r="18" spans="1:79" s="1" customFormat="1" ht="19.5" customHeight="1">
      <c r="A18" s="117" t="s">
        <v>16</v>
      </c>
      <c r="B18" s="114">
        <v>2607</v>
      </c>
      <c r="C18" s="32" t="s">
        <v>42</v>
      </c>
      <c r="D18" s="22">
        <v>19067957</v>
      </c>
      <c r="E18" s="22">
        <v>4055660</v>
      </c>
      <c r="F18" s="22">
        <v>2032749</v>
      </c>
      <c r="G18" s="22">
        <v>1127263</v>
      </c>
      <c r="H18" s="22">
        <v>5372109</v>
      </c>
      <c r="I18" s="22">
        <v>512096</v>
      </c>
      <c r="J18" s="22">
        <v>94007</v>
      </c>
      <c r="K18" s="22">
        <v>0</v>
      </c>
      <c r="L18" s="22">
        <v>0</v>
      </c>
      <c r="M18" s="15" t="e">
        <f t="shared" si="0"/>
        <v>#DIV/0!</v>
      </c>
      <c r="N18" s="23">
        <f>Q18-K18</f>
        <v>0</v>
      </c>
      <c r="O18" s="22">
        <f>R18-L18</f>
        <v>56884</v>
      </c>
      <c r="P18" s="15" t="e">
        <f t="shared" si="1"/>
        <v>#DIV/0!</v>
      </c>
      <c r="Q18" s="22">
        <v>0</v>
      </c>
      <c r="R18" s="22">
        <v>56884</v>
      </c>
      <c r="S18" s="15" t="e">
        <f t="shared" si="2"/>
        <v>#DIV/0!</v>
      </c>
      <c r="T18" s="23">
        <f>W18-Q18</f>
        <v>9</v>
      </c>
      <c r="U18" s="22">
        <f>X18-R18</f>
        <v>46200</v>
      </c>
      <c r="V18" s="15">
        <f t="shared" ref="V18:V19" si="108">(U18/T18-1)*100</f>
        <v>513233.33333333331</v>
      </c>
      <c r="W18" s="22">
        <v>9</v>
      </c>
      <c r="X18" s="22">
        <v>103084</v>
      </c>
      <c r="Y18" s="15">
        <f t="shared" ref="Y18:Y19" si="109">(X18/W18-1)*100</f>
        <v>1145277.7777777778</v>
      </c>
      <c r="Z18" s="23">
        <f>AC18-W18</f>
        <v>0</v>
      </c>
      <c r="AA18" s="22">
        <f>AD18-X18</f>
        <v>0</v>
      </c>
      <c r="AB18" s="15" t="e">
        <f t="shared" ref="AB18:AB19" si="110">(AA18/Z18-1)*100</f>
        <v>#DIV/0!</v>
      </c>
      <c r="AC18" s="22">
        <v>9</v>
      </c>
      <c r="AD18" s="22">
        <v>103084</v>
      </c>
      <c r="AE18" s="15">
        <f t="shared" ref="AE18:AE19" si="111">(AD18/AC18-1)*100</f>
        <v>1145277.7777777778</v>
      </c>
      <c r="AF18" s="23">
        <f>AI18-AC18</f>
        <v>0</v>
      </c>
      <c r="AG18" s="22">
        <f>AJ18-AD18</f>
        <v>0</v>
      </c>
      <c r="AH18" s="15" t="e">
        <f t="shared" ref="AH18:AH19" si="112">(AG18/AF18-1)*100</f>
        <v>#DIV/0!</v>
      </c>
      <c r="AI18" s="22">
        <v>9</v>
      </c>
      <c r="AJ18" s="22">
        <v>103084</v>
      </c>
      <c r="AK18" s="15">
        <f t="shared" ref="AK18:AK19" si="113">(AJ18/AI18-1)*100</f>
        <v>1145277.7777777778</v>
      </c>
      <c r="AL18" s="23">
        <f>AO18-AI18</f>
        <v>41684</v>
      </c>
      <c r="AM18" s="22">
        <f>AP18-AJ18</f>
        <v>0</v>
      </c>
      <c r="AN18" s="15">
        <f t="shared" ref="AN18:AN19" si="114">(AM18/AL18-1)*100</f>
        <v>-100</v>
      </c>
      <c r="AO18" s="22">
        <v>41693</v>
      </c>
      <c r="AP18" s="22">
        <v>103084</v>
      </c>
      <c r="AQ18" s="15">
        <f t="shared" ref="AQ18:AQ19" si="115">(AP18/AO18-1)*100</f>
        <v>147.24534094452304</v>
      </c>
      <c r="AR18" s="23">
        <f>AU18-AO18</f>
        <v>0</v>
      </c>
      <c r="AS18" s="22">
        <f>AV18-AP18</f>
        <v>0</v>
      </c>
      <c r="AT18" s="15" t="e">
        <f t="shared" ref="AT18:AT19" si="116">(AS18/AR18-1)*100</f>
        <v>#DIV/0!</v>
      </c>
      <c r="AU18" s="22">
        <v>41693</v>
      </c>
      <c r="AV18" s="22">
        <v>103084</v>
      </c>
      <c r="AW18" s="15">
        <f t="shared" ref="AW18:AW19" si="117">(AV18/AU18-1)*100</f>
        <v>147.24534094452304</v>
      </c>
      <c r="AX18" s="23">
        <f>BA18-AU18</f>
        <v>0</v>
      </c>
      <c r="AY18" s="22">
        <f>BB18-AV18</f>
        <v>0</v>
      </c>
      <c r="AZ18" s="15" t="e">
        <f t="shared" ref="AZ18:AZ19" si="118">(AY18/AX18-1)*100</f>
        <v>#DIV/0!</v>
      </c>
      <c r="BA18" s="22">
        <v>41693</v>
      </c>
      <c r="BB18" s="22">
        <v>103084</v>
      </c>
      <c r="BC18" s="15">
        <f t="shared" ref="BC18:BC19" si="119">(BB18/BA18-1)*100</f>
        <v>147.24534094452304</v>
      </c>
      <c r="BD18" s="23">
        <f>BG18-BA18</f>
        <v>0</v>
      </c>
      <c r="BE18" s="22">
        <f>BH18-BB18</f>
        <v>0</v>
      </c>
      <c r="BF18" s="15" t="e">
        <f t="shared" ref="BF18:BF19" si="120">(BE18/BD18-1)*100</f>
        <v>#DIV/0!</v>
      </c>
      <c r="BG18" s="22">
        <v>41693</v>
      </c>
      <c r="BH18" s="22">
        <v>103084</v>
      </c>
      <c r="BI18" s="15">
        <f t="shared" ref="BI18:BI19" si="121">(BH18/BG18-1)*100</f>
        <v>147.24534094452304</v>
      </c>
      <c r="BJ18" s="23">
        <f>BM18-BG18</f>
        <v>0</v>
      </c>
      <c r="BK18" s="22">
        <f>BN18-BH18</f>
        <v>0</v>
      </c>
      <c r="BL18" s="15" t="e">
        <f t="shared" ref="BL18:BL19" si="122">(BK18/BJ18-1)*100</f>
        <v>#DIV/0!</v>
      </c>
      <c r="BM18" s="22">
        <v>41693</v>
      </c>
      <c r="BN18" s="22">
        <v>103084</v>
      </c>
      <c r="BO18" s="15">
        <f t="shared" ref="BO18:BO19" si="123">(BN18/BM18-1)*100</f>
        <v>147.24534094452304</v>
      </c>
      <c r="BP18" s="23">
        <f>BS18-BM18</f>
        <v>52314</v>
      </c>
      <c r="BQ18" s="22">
        <f>BT18-BN18</f>
        <v>0</v>
      </c>
      <c r="BR18" s="15">
        <f t="shared" ref="BR18:BR19" si="124">(BQ18/BP18-1)*100</f>
        <v>-100</v>
      </c>
      <c r="BS18" s="22">
        <v>94007</v>
      </c>
      <c r="BT18" s="22">
        <v>103084</v>
      </c>
      <c r="BU18" s="15">
        <f t="shared" ref="BU18:BU19" si="125">(BT18/BS18-1)*100</f>
        <v>9.6556639399193678</v>
      </c>
      <c r="BV18" s="23">
        <f>BY18-BS18</f>
        <v>0</v>
      </c>
      <c r="BW18" s="22">
        <f>BZ18-BT18</f>
        <v>153994</v>
      </c>
      <c r="BX18" s="15" t="e">
        <f t="shared" ref="BX18:BX19" si="126">(BW18/BV18-1)*100</f>
        <v>#DIV/0!</v>
      </c>
      <c r="BY18" s="22">
        <v>94007</v>
      </c>
      <c r="BZ18" s="22">
        <v>257078</v>
      </c>
      <c r="CA18" s="15">
        <f t="shared" ref="CA18:CA19" si="127">(BZ18/BY18-1)*100</f>
        <v>173.46686948844234</v>
      </c>
    </row>
    <row r="19" spans="1:79" s="1" customFormat="1" ht="19.5" customHeight="1">
      <c r="A19" s="118"/>
      <c r="B19" s="120"/>
      <c r="C19" s="33" t="s">
        <v>50</v>
      </c>
      <c r="D19" s="17">
        <v>8465818</v>
      </c>
      <c r="E19" s="17">
        <v>3979994</v>
      </c>
      <c r="F19" s="17">
        <v>1629630</v>
      </c>
      <c r="G19" s="17">
        <v>1065253</v>
      </c>
      <c r="H19" s="17">
        <v>5495813</v>
      </c>
      <c r="I19" s="17">
        <v>207082</v>
      </c>
      <c r="J19" s="17">
        <v>43233</v>
      </c>
      <c r="K19" s="17">
        <v>0</v>
      </c>
      <c r="L19" s="17">
        <v>0</v>
      </c>
      <c r="M19" s="18" t="e">
        <f t="shared" si="0"/>
        <v>#DIV/0!</v>
      </c>
      <c r="N19" s="14">
        <f>Q19-K19</f>
        <v>0</v>
      </c>
      <c r="O19" s="14">
        <f>R19-L19</f>
        <v>22300</v>
      </c>
      <c r="P19" s="18" t="e">
        <f t="shared" si="1"/>
        <v>#DIV/0!</v>
      </c>
      <c r="Q19" s="17">
        <v>0</v>
      </c>
      <c r="R19" s="17">
        <v>22300</v>
      </c>
      <c r="S19" s="18" t="e">
        <f t="shared" si="2"/>
        <v>#DIV/0!</v>
      </c>
      <c r="T19" s="14">
        <f>W19-Q19</f>
        <v>12</v>
      </c>
      <c r="U19" s="14">
        <f>X19-R19</f>
        <v>11689</v>
      </c>
      <c r="V19" s="18">
        <f t="shared" si="108"/>
        <v>97308.333333333343</v>
      </c>
      <c r="W19" s="17">
        <v>12</v>
      </c>
      <c r="X19" s="17">
        <v>33989</v>
      </c>
      <c r="Y19" s="18">
        <f t="shared" si="109"/>
        <v>283141.66666666663</v>
      </c>
      <c r="Z19" s="14">
        <f>AC19-W19</f>
        <v>0</v>
      </c>
      <c r="AA19" s="14">
        <f>AD19-X19</f>
        <v>0</v>
      </c>
      <c r="AB19" s="18" t="e">
        <f t="shared" si="110"/>
        <v>#DIV/0!</v>
      </c>
      <c r="AC19" s="17">
        <v>12</v>
      </c>
      <c r="AD19" s="17">
        <v>33989</v>
      </c>
      <c r="AE19" s="18">
        <f t="shared" si="111"/>
        <v>283141.66666666663</v>
      </c>
      <c r="AF19" s="14">
        <f>AI19-AC19</f>
        <v>0</v>
      </c>
      <c r="AG19" s="14">
        <f>AJ19-AD19</f>
        <v>0</v>
      </c>
      <c r="AH19" s="18" t="e">
        <f t="shared" si="112"/>
        <v>#DIV/0!</v>
      </c>
      <c r="AI19" s="17">
        <v>12</v>
      </c>
      <c r="AJ19" s="17">
        <v>33989</v>
      </c>
      <c r="AK19" s="18">
        <f t="shared" si="113"/>
        <v>283141.66666666663</v>
      </c>
      <c r="AL19" s="14">
        <f>AO19-AI19</f>
        <v>24243</v>
      </c>
      <c r="AM19" s="14">
        <f>AP19-AJ19</f>
        <v>0</v>
      </c>
      <c r="AN19" s="18">
        <f t="shared" si="114"/>
        <v>-100</v>
      </c>
      <c r="AO19" s="17">
        <v>24255</v>
      </c>
      <c r="AP19" s="17">
        <v>33989</v>
      </c>
      <c r="AQ19" s="18">
        <f t="shared" si="115"/>
        <v>40.131931560502984</v>
      </c>
      <c r="AR19" s="14">
        <f>AU19-AO19</f>
        <v>0</v>
      </c>
      <c r="AS19" s="14">
        <f>AV19-AP19</f>
        <v>0</v>
      </c>
      <c r="AT19" s="18" t="e">
        <f t="shared" si="116"/>
        <v>#DIV/0!</v>
      </c>
      <c r="AU19" s="17">
        <v>24255</v>
      </c>
      <c r="AV19" s="17">
        <v>33989</v>
      </c>
      <c r="AW19" s="18">
        <f t="shared" si="117"/>
        <v>40.131931560502984</v>
      </c>
      <c r="AX19" s="14">
        <f>BA19-AU19</f>
        <v>0</v>
      </c>
      <c r="AY19" s="14">
        <f>BB19-AV19</f>
        <v>0</v>
      </c>
      <c r="AZ19" s="18" t="e">
        <f t="shared" si="118"/>
        <v>#DIV/0!</v>
      </c>
      <c r="BA19" s="17">
        <v>24255</v>
      </c>
      <c r="BB19" s="17">
        <v>33989</v>
      </c>
      <c r="BC19" s="18">
        <f t="shared" si="119"/>
        <v>40.131931560502984</v>
      </c>
      <c r="BD19" s="14">
        <f>BG19-BA19</f>
        <v>0</v>
      </c>
      <c r="BE19" s="14">
        <f>BH19-BB19</f>
        <v>0</v>
      </c>
      <c r="BF19" s="18" t="e">
        <f t="shared" si="120"/>
        <v>#DIV/0!</v>
      </c>
      <c r="BG19" s="17">
        <v>24255</v>
      </c>
      <c r="BH19" s="17">
        <v>33989</v>
      </c>
      <c r="BI19" s="18">
        <f t="shared" si="121"/>
        <v>40.131931560502984</v>
      </c>
      <c r="BJ19" s="14">
        <f>BM19-BG19</f>
        <v>0</v>
      </c>
      <c r="BK19" s="14">
        <f>BN19-BH19</f>
        <v>0</v>
      </c>
      <c r="BL19" s="18" t="e">
        <f t="shared" si="122"/>
        <v>#DIV/0!</v>
      </c>
      <c r="BM19" s="17">
        <v>24255</v>
      </c>
      <c r="BN19" s="17">
        <v>33989</v>
      </c>
      <c r="BO19" s="18">
        <f t="shared" si="123"/>
        <v>40.131931560502984</v>
      </c>
      <c r="BP19" s="14">
        <f>BS19-BM19</f>
        <v>18978</v>
      </c>
      <c r="BQ19" s="14">
        <f>BT19-BN19</f>
        <v>0</v>
      </c>
      <c r="BR19" s="18">
        <f t="shared" si="124"/>
        <v>-100</v>
      </c>
      <c r="BS19" s="17">
        <v>43233</v>
      </c>
      <c r="BT19" s="17">
        <v>33989</v>
      </c>
      <c r="BU19" s="18">
        <f t="shared" si="125"/>
        <v>-21.381814817384871</v>
      </c>
      <c r="BV19" s="14">
        <f>BY19-BS19</f>
        <v>0</v>
      </c>
      <c r="BW19" s="14">
        <f>BZ19-BT19</f>
        <v>119330</v>
      </c>
      <c r="BX19" s="18" t="e">
        <f t="shared" si="126"/>
        <v>#DIV/0!</v>
      </c>
      <c r="BY19" s="17">
        <v>43233</v>
      </c>
      <c r="BZ19" s="17">
        <v>153319</v>
      </c>
      <c r="CA19" s="18">
        <f t="shared" si="127"/>
        <v>254.63419147410545</v>
      </c>
    </row>
    <row r="20" spans="1:79" s="1" customFormat="1" ht="19.5" customHeight="1" thickBot="1">
      <c r="A20" s="119"/>
      <c r="B20" s="121"/>
      <c r="C20" s="34" t="s">
        <v>51</v>
      </c>
      <c r="D20" s="19">
        <f t="shared" ref="D20:L20" si="128">D19/D18</f>
        <v>0.44398138720367369</v>
      </c>
      <c r="E20" s="19">
        <f t="shared" si="128"/>
        <v>0.98134311061578139</v>
      </c>
      <c r="F20" s="19">
        <f t="shared" si="128"/>
        <v>0.80168776371308015</v>
      </c>
      <c r="G20" s="19">
        <f t="shared" si="128"/>
        <v>0.94499065435483998</v>
      </c>
      <c r="H20" s="20">
        <f>H19/H18</f>
        <v>1.0230270830320085</v>
      </c>
      <c r="I20" s="20">
        <f>I19/I18</f>
        <v>0.40438120977316755</v>
      </c>
      <c r="J20" s="20">
        <f>J19/J18</f>
        <v>0.45989128469156554</v>
      </c>
      <c r="K20" s="20" t="e">
        <f t="shared" si="128"/>
        <v>#DIV/0!</v>
      </c>
      <c r="L20" s="20" t="e">
        <f t="shared" si="128"/>
        <v>#DIV/0!</v>
      </c>
      <c r="M20" s="21"/>
      <c r="N20" s="20" t="e">
        <f>N19/N18</f>
        <v>#DIV/0!</v>
      </c>
      <c r="O20" s="20">
        <f>O19/O18</f>
        <v>0.39202587722382393</v>
      </c>
      <c r="P20" s="21"/>
      <c r="Q20" s="20" t="e">
        <f>Q19/Q18</f>
        <v>#DIV/0!</v>
      </c>
      <c r="R20" s="20">
        <f>R19/R18</f>
        <v>0.39202587722382393</v>
      </c>
      <c r="S20" s="21"/>
      <c r="T20" s="20">
        <f>T19/T18</f>
        <v>1.3333333333333333</v>
      </c>
      <c r="U20" s="20">
        <f>U19/U18</f>
        <v>0.25300865800865802</v>
      </c>
      <c r="V20" s="21"/>
      <c r="W20" s="20">
        <f>W19/W18</f>
        <v>1.3333333333333333</v>
      </c>
      <c r="X20" s="20">
        <f>X19/X18</f>
        <v>0.32972139226262076</v>
      </c>
      <c r="Y20" s="21"/>
      <c r="Z20" s="20" t="e">
        <f>Z19/Z18</f>
        <v>#DIV/0!</v>
      </c>
      <c r="AA20" s="20" t="e">
        <f>AA19/AA18</f>
        <v>#DIV/0!</v>
      </c>
      <c r="AB20" s="21"/>
      <c r="AC20" s="20">
        <f>AC19/AC18</f>
        <v>1.3333333333333333</v>
      </c>
      <c r="AD20" s="20">
        <f>AD19/AD18</f>
        <v>0.32972139226262076</v>
      </c>
      <c r="AE20" s="21"/>
      <c r="AF20" s="20" t="e">
        <f>AF19/AF18</f>
        <v>#DIV/0!</v>
      </c>
      <c r="AG20" s="20" t="e">
        <f>AG19/AG18</f>
        <v>#DIV/0!</v>
      </c>
      <c r="AH20" s="21"/>
      <c r="AI20" s="20">
        <f>AI19/AI18</f>
        <v>1.3333333333333333</v>
      </c>
      <c r="AJ20" s="20">
        <f>AJ19/AJ18</f>
        <v>0.32972139226262076</v>
      </c>
      <c r="AK20" s="21"/>
      <c r="AL20" s="20">
        <f>AL19/AL18</f>
        <v>0.58159005853564916</v>
      </c>
      <c r="AM20" s="20" t="e">
        <f>AM19/AM18</f>
        <v>#DIV/0!</v>
      </c>
      <c r="AN20" s="21"/>
      <c r="AO20" s="20">
        <f>AO19/AO18</f>
        <v>0.58175233252584369</v>
      </c>
      <c r="AP20" s="20">
        <f>AP19/AP18</f>
        <v>0.32972139226262076</v>
      </c>
      <c r="AQ20" s="21"/>
      <c r="AR20" s="20" t="e">
        <f>AR19/AR18</f>
        <v>#DIV/0!</v>
      </c>
      <c r="AS20" s="20" t="e">
        <f>AS19/AS18</f>
        <v>#DIV/0!</v>
      </c>
      <c r="AT20" s="21"/>
      <c r="AU20" s="20">
        <f>AU19/AU18</f>
        <v>0.58175233252584369</v>
      </c>
      <c r="AV20" s="20">
        <f>AV19/AV18</f>
        <v>0.32972139226262076</v>
      </c>
      <c r="AW20" s="21"/>
      <c r="AX20" s="20" t="e">
        <f>AX19/AX18</f>
        <v>#DIV/0!</v>
      </c>
      <c r="AY20" s="20" t="e">
        <f>AY19/AY18</f>
        <v>#DIV/0!</v>
      </c>
      <c r="AZ20" s="21"/>
      <c r="BA20" s="20">
        <f>BA19/BA18</f>
        <v>0.58175233252584369</v>
      </c>
      <c r="BB20" s="20">
        <f>BB19/BB18</f>
        <v>0.32972139226262076</v>
      </c>
      <c r="BC20" s="21"/>
      <c r="BD20" s="20" t="e">
        <f>BD19/BD18</f>
        <v>#DIV/0!</v>
      </c>
      <c r="BE20" s="20" t="e">
        <f>BE19/BE18</f>
        <v>#DIV/0!</v>
      </c>
      <c r="BF20" s="21"/>
      <c r="BG20" s="20">
        <f>BG19/BG18</f>
        <v>0.58175233252584369</v>
      </c>
      <c r="BH20" s="20">
        <f>BH19/BH18</f>
        <v>0.32972139226262076</v>
      </c>
      <c r="BI20" s="21"/>
      <c r="BJ20" s="20" t="e">
        <f>BJ19/BJ18</f>
        <v>#DIV/0!</v>
      </c>
      <c r="BK20" s="20" t="e">
        <f>BK19/BK18</f>
        <v>#DIV/0!</v>
      </c>
      <c r="BL20" s="21"/>
      <c r="BM20" s="20">
        <f>BM19/BM18</f>
        <v>0.58175233252584369</v>
      </c>
      <c r="BN20" s="20">
        <f>BN19/BN18</f>
        <v>0.32972139226262076</v>
      </c>
      <c r="BO20" s="21"/>
      <c r="BP20" s="20">
        <f>BP19/BP18</f>
        <v>0.36277095997247388</v>
      </c>
      <c r="BQ20" s="20" t="e">
        <f>BQ19/BQ18</f>
        <v>#DIV/0!</v>
      </c>
      <c r="BR20" s="21"/>
      <c r="BS20" s="20">
        <f>BS19/BS18</f>
        <v>0.45989128469156554</v>
      </c>
      <c r="BT20" s="20">
        <f>BT19/BT18</f>
        <v>0.32972139226262076</v>
      </c>
      <c r="BU20" s="21"/>
      <c r="BV20" s="20" t="e">
        <f>BV19/BV18</f>
        <v>#DIV/0!</v>
      </c>
      <c r="BW20" s="20">
        <f>BW19/BW18</f>
        <v>0.77490032079171911</v>
      </c>
      <c r="BX20" s="21"/>
      <c r="BY20" s="20">
        <f>BY19/BY18</f>
        <v>0.45989128469156554</v>
      </c>
      <c r="BZ20" s="20">
        <f>BZ19/BZ18</f>
        <v>0.59639097861349477</v>
      </c>
      <c r="CA20" s="21"/>
    </row>
    <row r="21" spans="1:79" s="1" customFormat="1" ht="19.5" customHeight="1">
      <c r="A21" s="117" t="s">
        <v>17</v>
      </c>
      <c r="B21" s="114">
        <v>2608</v>
      </c>
      <c r="C21" s="32" t="s">
        <v>42</v>
      </c>
      <c r="D21" s="22">
        <v>144524459</v>
      </c>
      <c r="E21" s="22">
        <v>84293849</v>
      </c>
      <c r="F21" s="22">
        <v>135452772</v>
      </c>
      <c r="G21" s="22">
        <v>86882420</v>
      </c>
      <c r="H21" s="22">
        <v>33923757</v>
      </c>
      <c r="I21" s="22">
        <v>22794671</v>
      </c>
      <c r="J21" s="22">
        <v>7613348</v>
      </c>
      <c r="K21" s="22">
        <v>543241</v>
      </c>
      <c r="L21" s="22">
        <v>0</v>
      </c>
      <c r="M21" s="15">
        <f t="shared" si="0"/>
        <v>-100</v>
      </c>
      <c r="N21" s="23">
        <f>Q21-K21</f>
        <v>0</v>
      </c>
      <c r="O21" s="22">
        <f>R21-L21</f>
        <v>400132</v>
      </c>
      <c r="P21" s="15" t="e">
        <f t="shared" si="1"/>
        <v>#DIV/0!</v>
      </c>
      <c r="Q21" s="22">
        <v>543241</v>
      </c>
      <c r="R21" s="22">
        <v>400132</v>
      </c>
      <c r="S21" s="15">
        <f t="shared" si="2"/>
        <v>-26.343556543044432</v>
      </c>
      <c r="T21" s="23">
        <f>W21-Q21</f>
        <v>1215070</v>
      </c>
      <c r="U21" s="22">
        <f>X21-R21</f>
        <v>670931</v>
      </c>
      <c r="V21" s="15">
        <f t="shared" ref="V21:V22" si="129">(U21/T21-1)*100</f>
        <v>-44.782522817615444</v>
      </c>
      <c r="W21" s="22">
        <v>1758311</v>
      </c>
      <c r="X21" s="22">
        <v>1071063</v>
      </c>
      <c r="Y21" s="15">
        <f t="shared" ref="Y21:Y22" si="130">(X21/W21-1)*100</f>
        <v>-39.085690756640886</v>
      </c>
      <c r="Z21" s="23">
        <f>AC21-W21</f>
        <v>289920</v>
      </c>
      <c r="AA21" s="22">
        <f>AD21-X21</f>
        <v>298889</v>
      </c>
      <c r="AB21" s="15">
        <f t="shared" ref="AB21:AB22" si="131">(AA21/Z21-1)*100</f>
        <v>3.0936120309050796</v>
      </c>
      <c r="AC21" s="22">
        <v>2048231</v>
      </c>
      <c r="AD21" s="22">
        <v>1369952</v>
      </c>
      <c r="AE21" s="15">
        <f t="shared" ref="AE21:AE22" si="132">(AD21/AC21-1)*100</f>
        <v>-33.115356617490896</v>
      </c>
      <c r="AF21" s="23">
        <f>AI21-AC21</f>
        <v>636342</v>
      </c>
      <c r="AG21" s="22">
        <f>AJ21-AD21</f>
        <v>211284</v>
      </c>
      <c r="AH21" s="15">
        <f t="shared" ref="AH21:AH22" si="133">(AG21/AF21-1)*100</f>
        <v>-66.797099672817438</v>
      </c>
      <c r="AI21" s="22">
        <v>2684573</v>
      </c>
      <c r="AJ21" s="22">
        <v>1581236</v>
      </c>
      <c r="AK21" s="15">
        <f t="shared" ref="AK21:AK22" si="134">(AJ21/AI21-1)*100</f>
        <v>-41.099161766135616</v>
      </c>
      <c r="AL21" s="23">
        <f>AO21-AI21</f>
        <v>149492</v>
      </c>
      <c r="AM21" s="22">
        <f>AP21-AJ21</f>
        <v>365226</v>
      </c>
      <c r="AN21" s="15">
        <f t="shared" ref="AN21:AN22" si="135">(AM21/AL21-1)*100</f>
        <v>144.3114012789982</v>
      </c>
      <c r="AO21" s="22">
        <v>2834065</v>
      </c>
      <c r="AP21" s="22">
        <v>1946462</v>
      </c>
      <c r="AQ21" s="15">
        <f t="shared" ref="AQ21:AQ22" si="136">(AP21/AO21-1)*100</f>
        <v>-31.319077014817942</v>
      </c>
      <c r="AR21" s="23">
        <f>AU21-AO21</f>
        <v>197340</v>
      </c>
      <c r="AS21" s="22">
        <f>AV21-AP21</f>
        <v>390211</v>
      </c>
      <c r="AT21" s="15">
        <f t="shared" ref="AT21:AT22" si="137">(AS21/AR21-1)*100</f>
        <v>97.735380561467508</v>
      </c>
      <c r="AU21" s="22">
        <v>3031405</v>
      </c>
      <c r="AV21" s="22">
        <v>2336673</v>
      </c>
      <c r="AW21" s="15">
        <f t="shared" ref="AW21:AW22" si="138">(AV21/AU21-1)*100</f>
        <v>-22.917821934053684</v>
      </c>
      <c r="AX21" s="23">
        <f>BA21-AU21</f>
        <v>1453357</v>
      </c>
      <c r="AY21" s="22">
        <f>BB21-AV21</f>
        <v>1606473</v>
      </c>
      <c r="AZ21" s="15">
        <f t="shared" ref="AZ21:AZ22" si="139">(AY21/AX21-1)*100</f>
        <v>10.535333025540172</v>
      </c>
      <c r="BA21" s="22">
        <v>4484762</v>
      </c>
      <c r="BB21" s="22">
        <v>3943146</v>
      </c>
      <c r="BC21" s="15">
        <f t="shared" ref="BC21:BC22" si="140">(BB21/BA21-1)*100</f>
        <v>-12.076805859485962</v>
      </c>
      <c r="BD21" s="23">
        <f>BG21-BA21</f>
        <v>917905</v>
      </c>
      <c r="BE21" s="22">
        <f>BH21-BB21</f>
        <v>1204274</v>
      </c>
      <c r="BF21" s="15">
        <f t="shared" ref="BF21:BF22" si="141">(BE21/BD21-1)*100</f>
        <v>31.198108736742913</v>
      </c>
      <c r="BG21" s="22">
        <v>5402667</v>
      </c>
      <c r="BH21" s="22">
        <v>5147420</v>
      </c>
      <c r="BI21" s="15">
        <f t="shared" ref="BI21:BI22" si="142">(BH21/BG21-1)*100</f>
        <v>-4.7244629365459705</v>
      </c>
      <c r="BJ21" s="23">
        <f>BM21-BG21</f>
        <v>1029263</v>
      </c>
      <c r="BK21" s="22">
        <f>BN21-BH21</f>
        <v>1455201</v>
      </c>
      <c r="BL21" s="15">
        <f t="shared" ref="BL21:BL22" si="143">(BK21/BJ21-1)*100</f>
        <v>41.382814693620574</v>
      </c>
      <c r="BM21" s="22">
        <v>6431930</v>
      </c>
      <c r="BN21" s="22">
        <v>6602621</v>
      </c>
      <c r="BO21" s="15">
        <f t="shared" ref="BO21:BO22" si="144">(BN21/BM21-1)*100</f>
        <v>2.6538068666791981</v>
      </c>
      <c r="BP21" s="23">
        <f>BS21-BM21</f>
        <v>520770</v>
      </c>
      <c r="BQ21" s="22">
        <f>BT21-BN21</f>
        <v>1645229</v>
      </c>
      <c r="BR21" s="15">
        <f t="shared" ref="BR21:BR22" si="145">(BQ21/BP21-1)*100</f>
        <v>215.9223841619141</v>
      </c>
      <c r="BS21" s="22">
        <v>6952700</v>
      </c>
      <c r="BT21" s="22">
        <v>8247850</v>
      </c>
      <c r="BU21" s="15">
        <f t="shared" ref="BU21:BU22" si="146">(BT21/BS21-1)*100</f>
        <v>18.628015015749266</v>
      </c>
      <c r="BV21" s="23">
        <f>BY21-BS21</f>
        <v>660648</v>
      </c>
      <c r="BW21" s="22">
        <f>BZ21-BT21</f>
        <v>1387579</v>
      </c>
      <c r="BX21" s="15">
        <f t="shared" ref="BX21:BX22" si="147">(BW21/BV21-1)*100</f>
        <v>110.03302817839456</v>
      </c>
      <c r="BY21" s="22">
        <v>7613348</v>
      </c>
      <c r="BZ21" s="22">
        <v>9635429</v>
      </c>
      <c r="CA21" s="15">
        <f t="shared" ref="CA21:CA22" si="148">(BZ21/BY21-1)*100</f>
        <v>26.55968175893182</v>
      </c>
    </row>
    <row r="22" spans="1:79" s="1" customFormat="1" ht="19.5" customHeight="1">
      <c r="A22" s="118"/>
      <c r="B22" s="120"/>
      <c r="C22" s="33" t="s">
        <v>50</v>
      </c>
      <c r="D22" s="17">
        <v>5578449</v>
      </c>
      <c r="E22" s="17">
        <v>9850743</v>
      </c>
      <c r="F22" s="17">
        <v>7075240</v>
      </c>
      <c r="G22" s="17">
        <v>14127809</v>
      </c>
      <c r="H22" s="17">
        <v>9403864</v>
      </c>
      <c r="I22" s="17">
        <v>10034184</v>
      </c>
      <c r="J22" s="17">
        <v>4781292</v>
      </c>
      <c r="K22" s="17">
        <v>208607</v>
      </c>
      <c r="L22" s="17">
        <v>0</v>
      </c>
      <c r="M22" s="18">
        <f t="shared" si="0"/>
        <v>-100</v>
      </c>
      <c r="N22" s="14">
        <f>Q22-K22</f>
        <v>0</v>
      </c>
      <c r="O22" s="14">
        <f>R22-L22</f>
        <v>249002</v>
      </c>
      <c r="P22" s="18" t="e">
        <f t="shared" si="1"/>
        <v>#DIV/0!</v>
      </c>
      <c r="Q22" s="17">
        <v>208607</v>
      </c>
      <c r="R22" s="17">
        <v>249002</v>
      </c>
      <c r="S22" s="18">
        <f t="shared" si="2"/>
        <v>19.364163235174271</v>
      </c>
      <c r="T22" s="14">
        <f>W22-Q22</f>
        <v>765679</v>
      </c>
      <c r="U22" s="14">
        <f>X22-R22</f>
        <v>533160</v>
      </c>
      <c r="V22" s="18">
        <f t="shared" si="129"/>
        <v>-30.367686719891751</v>
      </c>
      <c r="W22" s="17">
        <v>974286</v>
      </c>
      <c r="X22" s="17">
        <v>782162</v>
      </c>
      <c r="Y22" s="18">
        <f t="shared" si="130"/>
        <v>-19.71946635792775</v>
      </c>
      <c r="Z22" s="14">
        <f>AC22-W22</f>
        <v>216468</v>
      </c>
      <c r="AA22" s="14">
        <f>AD22-X22</f>
        <v>244591</v>
      </c>
      <c r="AB22" s="18">
        <f t="shared" si="131"/>
        <v>12.991758597113655</v>
      </c>
      <c r="AC22" s="17">
        <v>1190754</v>
      </c>
      <c r="AD22" s="17">
        <v>1026753</v>
      </c>
      <c r="AE22" s="18">
        <f t="shared" si="132"/>
        <v>-13.772869963065414</v>
      </c>
      <c r="AF22" s="14">
        <f>AI22-AC22</f>
        <v>455330</v>
      </c>
      <c r="AG22" s="14">
        <f>AJ22-AD22</f>
        <v>63741</v>
      </c>
      <c r="AH22" s="18">
        <f t="shared" si="133"/>
        <v>-86.001142028858197</v>
      </c>
      <c r="AI22" s="17">
        <v>1646084</v>
      </c>
      <c r="AJ22" s="17">
        <v>1090494</v>
      </c>
      <c r="AK22" s="18">
        <f t="shared" si="134"/>
        <v>-33.75222649633919</v>
      </c>
      <c r="AL22" s="14">
        <f>AO22-AI22</f>
        <v>76668</v>
      </c>
      <c r="AM22" s="14">
        <f>AP22-AJ22</f>
        <v>230293</v>
      </c>
      <c r="AN22" s="18">
        <f t="shared" si="135"/>
        <v>200.37694996608755</v>
      </c>
      <c r="AO22" s="17">
        <v>1722752</v>
      </c>
      <c r="AP22" s="17">
        <v>1320787</v>
      </c>
      <c r="AQ22" s="18">
        <f t="shared" si="136"/>
        <v>-23.332725778289621</v>
      </c>
      <c r="AR22" s="14">
        <f>AU22-AO22</f>
        <v>144006</v>
      </c>
      <c r="AS22" s="14">
        <f>AV22-AP22</f>
        <v>430671</v>
      </c>
      <c r="AT22" s="18">
        <f t="shared" si="137"/>
        <v>199.06462230740388</v>
      </c>
      <c r="AU22" s="17">
        <v>1866758</v>
      </c>
      <c r="AV22" s="17">
        <v>1751458</v>
      </c>
      <c r="AW22" s="18">
        <f t="shared" si="138"/>
        <v>-6.1764835077712243</v>
      </c>
      <c r="AX22" s="14">
        <f>BA22-AU22</f>
        <v>937423</v>
      </c>
      <c r="AY22" s="14">
        <f>BB22-AV22</f>
        <v>1252847</v>
      </c>
      <c r="AZ22" s="18">
        <f t="shared" si="139"/>
        <v>33.647990288269014</v>
      </c>
      <c r="BA22" s="17">
        <v>2804181</v>
      </c>
      <c r="BB22" s="17">
        <v>3004305</v>
      </c>
      <c r="BC22" s="18">
        <f t="shared" si="140"/>
        <v>7.1366291976159957</v>
      </c>
      <c r="BD22" s="14">
        <f>BG22-BA22</f>
        <v>756356</v>
      </c>
      <c r="BE22" s="14">
        <f>BH22-BB22</f>
        <v>896135</v>
      </c>
      <c r="BF22" s="18">
        <f t="shared" si="141"/>
        <v>18.480583217426716</v>
      </c>
      <c r="BG22" s="17">
        <v>3560537</v>
      </c>
      <c r="BH22" s="17">
        <v>3900440</v>
      </c>
      <c r="BI22" s="18">
        <f t="shared" si="142"/>
        <v>9.5463970743739033</v>
      </c>
      <c r="BJ22" s="14">
        <f>BM22-BG22</f>
        <v>486709</v>
      </c>
      <c r="BK22" s="14">
        <f>BN22-BH22</f>
        <v>1212271</v>
      </c>
      <c r="BL22" s="18">
        <f t="shared" si="143"/>
        <v>149.07511469892688</v>
      </c>
      <c r="BM22" s="17">
        <v>4047246</v>
      </c>
      <c r="BN22" s="17">
        <v>5112711</v>
      </c>
      <c r="BO22" s="18">
        <f t="shared" si="144"/>
        <v>26.325679239660737</v>
      </c>
      <c r="BP22" s="14">
        <f>BS22-BM22</f>
        <v>233584</v>
      </c>
      <c r="BQ22" s="14">
        <f>BT22-BN22</f>
        <v>1370140</v>
      </c>
      <c r="BR22" s="18">
        <f t="shared" si="145"/>
        <v>486.57271045962051</v>
      </c>
      <c r="BS22" s="17">
        <v>4280830</v>
      </c>
      <c r="BT22" s="17">
        <v>6482851</v>
      </c>
      <c r="BU22" s="18">
        <f t="shared" si="146"/>
        <v>51.439113442953818</v>
      </c>
      <c r="BV22" s="14">
        <f>BY22-BS22</f>
        <v>500462</v>
      </c>
      <c r="BW22" s="14">
        <f>BZ22-BT22</f>
        <v>1242119</v>
      </c>
      <c r="BX22" s="18">
        <f t="shared" si="147"/>
        <v>148.19446831128036</v>
      </c>
      <c r="BY22" s="17">
        <v>4781292</v>
      </c>
      <c r="BZ22" s="17">
        <v>7724970</v>
      </c>
      <c r="CA22" s="18">
        <f t="shared" si="148"/>
        <v>61.566580748467146</v>
      </c>
    </row>
    <row r="23" spans="1:79" s="1" customFormat="1" ht="19.5" customHeight="1" thickBot="1">
      <c r="A23" s="119"/>
      <c r="B23" s="121"/>
      <c r="C23" s="34" t="s">
        <v>51</v>
      </c>
      <c r="D23" s="19">
        <f t="shared" ref="D23:L23" si="149">D22/D21</f>
        <v>3.859864993509507E-2</v>
      </c>
      <c r="E23" s="19">
        <f t="shared" si="149"/>
        <v>0.11686194327180385</v>
      </c>
      <c r="F23" s="19">
        <f t="shared" si="149"/>
        <v>5.2233999316012518E-2</v>
      </c>
      <c r="G23" s="19">
        <f t="shared" si="149"/>
        <v>0.16260837347762644</v>
      </c>
      <c r="H23" s="20">
        <f>H22/H21</f>
        <v>0.27720585311349799</v>
      </c>
      <c r="I23" s="24">
        <f>I22/I21</f>
        <v>0.44019867626078041</v>
      </c>
      <c r="J23" s="24">
        <f>J22/J21</f>
        <v>0.62801437685496575</v>
      </c>
      <c r="K23" s="24">
        <f t="shared" si="149"/>
        <v>0.38400452101369376</v>
      </c>
      <c r="L23" s="24" t="e">
        <f t="shared" si="149"/>
        <v>#DIV/0!</v>
      </c>
      <c r="M23" s="21"/>
      <c r="N23" s="24" t="e">
        <f>N22/N21</f>
        <v>#DIV/0!</v>
      </c>
      <c r="O23" s="24">
        <f>O22/O21</f>
        <v>0.62229964111843095</v>
      </c>
      <c r="P23" s="21"/>
      <c r="Q23" s="24">
        <f>Q22/Q21</f>
        <v>0.38400452101369376</v>
      </c>
      <c r="R23" s="20">
        <f>R22/R21</f>
        <v>0.62229964111843095</v>
      </c>
      <c r="S23" s="21"/>
      <c r="T23" s="24">
        <f>T22/T21</f>
        <v>0.63015217230283027</v>
      </c>
      <c r="U23" s="24">
        <f>U22/U21</f>
        <v>0.79465697664886548</v>
      </c>
      <c r="V23" s="21"/>
      <c r="W23" s="24">
        <f>W22/W21</f>
        <v>0.5541033412177937</v>
      </c>
      <c r="X23" s="20">
        <f>X22/X21</f>
        <v>0.73026703377859192</v>
      </c>
      <c r="Y23" s="21"/>
      <c r="Z23" s="24">
        <f>Z22/Z21</f>
        <v>0.74664735099337753</v>
      </c>
      <c r="AA23" s="24">
        <f>AA22/AA21</f>
        <v>0.81833389653014998</v>
      </c>
      <c r="AB23" s="21"/>
      <c r="AC23" s="24">
        <f>AC22/AC21</f>
        <v>0.58135727854914798</v>
      </c>
      <c r="AD23" s="20">
        <f>AD22/AD21</f>
        <v>0.74948100371399873</v>
      </c>
      <c r="AE23" s="21"/>
      <c r="AF23" s="24">
        <f>AF22/AF21</f>
        <v>0.71554289988716757</v>
      </c>
      <c r="AG23" s="24">
        <f>AG22/AG21</f>
        <v>0.30168398932242857</v>
      </c>
      <c r="AH23" s="21"/>
      <c r="AI23" s="24">
        <f>AI22/AI21</f>
        <v>0.61316417918231314</v>
      </c>
      <c r="AJ23" s="20">
        <f>AJ22/AJ21</f>
        <v>0.68964658027011783</v>
      </c>
      <c r="AK23" s="21"/>
      <c r="AL23" s="24">
        <f>AL22/AL21</f>
        <v>0.51285687528429613</v>
      </c>
      <c r="AM23" s="24">
        <f>AM22/AM21</f>
        <v>0.63054930371879325</v>
      </c>
      <c r="AN23" s="21"/>
      <c r="AO23" s="24">
        <f>AO22/AO21</f>
        <v>0.60787314334710041</v>
      </c>
      <c r="AP23" s="20">
        <f>AP22/AP21</f>
        <v>0.67855781412634819</v>
      </c>
      <c r="AQ23" s="21"/>
      <c r="AR23" s="24">
        <f>AR22/AR21</f>
        <v>0.72973548190939497</v>
      </c>
      <c r="AS23" s="24">
        <f>AS22/AS21</f>
        <v>1.1036874921516819</v>
      </c>
      <c r="AT23" s="21"/>
      <c r="AU23" s="24">
        <f>AU22/AU21</f>
        <v>0.61580620207461556</v>
      </c>
      <c r="AV23" s="20">
        <f>AV22/AV21</f>
        <v>0.74955203402444415</v>
      </c>
      <c r="AW23" s="21"/>
      <c r="AX23" s="24">
        <f>AX22/AX21</f>
        <v>0.64500532216103823</v>
      </c>
      <c r="AY23" s="24">
        <f>AY22/AY21</f>
        <v>0.77987429605103853</v>
      </c>
      <c r="AZ23" s="21"/>
      <c r="BA23" s="24">
        <f>BA22/BA21</f>
        <v>0.62526863186942805</v>
      </c>
      <c r="BB23" s="20">
        <f>BB22/BB21</f>
        <v>0.76190559517704903</v>
      </c>
      <c r="BC23" s="21"/>
      <c r="BD23" s="24">
        <f>BD22/BD21</f>
        <v>0.82400248391718101</v>
      </c>
      <c r="BE23" s="24">
        <f>BE22/BE21</f>
        <v>0.74412882782489698</v>
      </c>
      <c r="BF23" s="21"/>
      <c r="BG23" s="24">
        <f>BG22/BG21</f>
        <v>0.65903321452164276</v>
      </c>
      <c r="BH23" s="20">
        <f>BH22/BH21</f>
        <v>0.75774659926720567</v>
      </c>
      <c r="BI23" s="21"/>
      <c r="BJ23" s="24">
        <f>BJ22/BJ21</f>
        <v>0.4728713652390108</v>
      </c>
      <c r="BK23" s="24">
        <f>BK22/BK21</f>
        <v>0.83306086238258492</v>
      </c>
      <c r="BL23" s="21"/>
      <c r="BM23" s="24">
        <f>BM22/BM21</f>
        <v>0.6292428555659032</v>
      </c>
      <c r="BN23" s="20">
        <f>BN22/BN21</f>
        <v>0.77434567272602806</v>
      </c>
      <c r="BO23" s="21"/>
      <c r="BP23" s="24">
        <f>BP22/BP21</f>
        <v>0.44853582195594982</v>
      </c>
      <c r="BQ23" s="24">
        <f>BQ22/BQ21</f>
        <v>0.83279592081102383</v>
      </c>
      <c r="BR23" s="21"/>
      <c r="BS23" s="24">
        <f>BS22/BS21</f>
        <v>0.6157075668445352</v>
      </c>
      <c r="BT23" s="20">
        <f>BT22/BT21</f>
        <v>0.78600495886806865</v>
      </c>
      <c r="BU23" s="21"/>
      <c r="BV23" s="24">
        <f>BV22/BV21</f>
        <v>0.75753199888594225</v>
      </c>
      <c r="BW23" s="24">
        <f>BW22/BW21</f>
        <v>0.89516993266689682</v>
      </c>
      <c r="BX23" s="21"/>
      <c r="BY23" s="24">
        <f>BY22/BY21</f>
        <v>0.62801437685496575</v>
      </c>
      <c r="BZ23" s="20">
        <f>BZ22/BZ21</f>
        <v>0.80172559000746102</v>
      </c>
      <c r="CA23" s="21"/>
    </row>
    <row r="24" spans="1:79" s="1" customFormat="1" ht="19.5" customHeight="1">
      <c r="A24" s="117" t="s">
        <v>18</v>
      </c>
      <c r="B24" s="114">
        <v>2609</v>
      </c>
      <c r="C24" s="32" t="s">
        <v>42</v>
      </c>
      <c r="D24" s="22">
        <v>131127</v>
      </c>
      <c r="E24" s="22">
        <v>15288</v>
      </c>
      <c r="F24" s="22">
        <v>8780</v>
      </c>
      <c r="G24" s="22">
        <v>450</v>
      </c>
      <c r="H24" s="22">
        <v>40972</v>
      </c>
      <c r="I24" s="22">
        <v>135560</v>
      </c>
      <c r="J24" s="22">
        <v>14189</v>
      </c>
      <c r="K24" s="22">
        <v>46</v>
      </c>
      <c r="L24" s="22">
        <v>22635</v>
      </c>
      <c r="M24" s="15">
        <f t="shared" si="0"/>
        <v>49106.52173913044</v>
      </c>
      <c r="N24" s="23">
        <f>Q24-K24</f>
        <v>854</v>
      </c>
      <c r="O24" s="22">
        <f>R24-L24</f>
        <v>518</v>
      </c>
      <c r="P24" s="15">
        <f t="shared" si="1"/>
        <v>-39.344262295081968</v>
      </c>
      <c r="Q24" s="22">
        <v>900</v>
      </c>
      <c r="R24" s="22">
        <v>23153</v>
      </c>
      <c r="S24" s="15">
        <f t="shared" si="2"/>
        <v>2472.5555555555557</v>
      </c>
      <c r="T24" s="23">
        <f>W24-Q24</f>
        <v>1359</v>
      </c>
      <c r="U24" s="22">
        <f>X24-R24</f>
        <v>1218</v>
      </c>
      <c r="V24" s="15">
        <f t="shared" ref="V24:V25" si="150">(U24/T24-1)*100</f>
        <v>-10.375275938189843</v>
      </c>
      <c r="W24" s="22">
        <v>2259</v>
      </c>
      <c r="X24" s="22">
        <v>24371</v>
      </c>
      <c r="Y24" s="15">
        <f t="shared" ref="Y24:Y25" si="151">(X24/W24-1)*100</f>
        <v>978.84019477644983</v>
      </c>
      <c r="Z24" s="23">
        <f>AC24-W24</f>
        <v>724</v>
      </c>
      <c r="AA24" s="22">
        <f>AD24-X24</f>
        <v>56389</v>
      </c>
      <c r="AB24" s="15">
        <f t="shared" ref="AB24:AB25" si="152">(AA24/Z24-1)*100</f>
        <v>7688.53591160221</v>
      </c>
      <c r="AC24" s="22">
        <v>2983</v>
      </c>
      <c r="AD24" s="22">
        <v>80760</v>
      </c>
      <c r="AE24" s="15">
        <f t="shared" ref="AE24:AE25" si="153">(AD24/AC24-1)*100</f>
        <v>2607.3416024136777</v>
      </c>
      <c r="AF24" s="23">
        <f>AI24-AC24</f>
        <v>512</v>
      </c>
      <c r="AG24" s="22">
        <f>AJ24-AD24</f>
        <v>39258</v>
      </c>
      <c r="AH24" s="15">
        <f t="shared" ref="AH24:AH25" si="154">(AG24/AF24-1)*100</f>
        <v>7567.578125</v>
      </c>
      <c r="AI24" s="22">
        <v>3495</v>
      </c>
      <c r="AJ24" s="22">
        <v>120018</v>
      </c>
      <c r="AK24" s="15">
        <f t="shared" ref="AK24:AK25" si="155">(AJ24/AI24-1)*100</f>
        <v>3333.9914163090129</v>
      </c>
      <c r="AL24" s="23">
        <f>AO24-AI24</f>
        <v>716</v>
      </c>
      <c r="AM24" s="22">
        <f>AP24-AJ24</f>
        <v>433</v>
      </c>
      <c r="AN24" s="15">
        <f t="shared" ref="AN24:AN25" si="156">(AM24/AL24-1)*100</f>
        <v>-39.525139664804463</v>
      </c>
      <c r="AO24" s="22">
        <v>4211</v>
      </c>
      <c r="AP24" s="22">
        <v>120451</v>
      </c>
      <c r="AQ24" s="15">
        <f t="shared" ref="AQ24:AQ25" si="157">(AP24/AO24-1)*100</f>
        <v>2760.3894561861789</v>
      </c>
      <c r="AR24" s="23">
        <f>AU24-AO24</f>
        <v>771</v>
      </c>
      <c r="AS24" s="22">
        <f>AV24-AP24</f>
        <v>425</v>
      </c>
      <c r="AT24" s="15">
        <f t="shared" ref="AT24:AT25" si="158">(AS24/AR24-1)*100</f>
        <v>-44.876783398184173</v>
      </c>
      <c r="AU24" s="22">
        <v>4982</v>
      </c>
      <c r="AV24" s="22">
        <v>120876</v>
      </c>
      <c r="AW24" s="15">
        <f t="shared" ref="AW24:AW25" si="159">(AV24/AU24-1)*100</f>
        <v>2326.2545162585307</v>
      </c>
      <c r="AX24" s="23">
        <f>BA24-AU24</f>
        <v>764</v>
      </c>
      <c r="AY24" s="22">
        <f>BB24-AV24</f>
        <v>1229</v>
      </c>
      <c r="AZ24" s="15">
        <f t="shared" ref="AZ24:AZ25" si="160">(AY24/AX24-1)*100</f>
        <v>60.863874345549739</v>
      </c>
      <c r="BA24" s="22">
        <v>5746</v>
      </c>
      <c r="BB24" s="22">
        <v>122105</v>
      </c>
      <c r="BC24" s="15">
        <f t="shared" ref="BC24:BC25" si="161">(BB24/BA24-1)*100</f>
        <v>2025.0435085276713</v>
      </c>
      <c r="BD24" s="23">
        <f>BG24-BA24</f>
        <v>726</v>
      </c>
      <c r="BE24" s="22">
        <f>BH24-BB24</f>
        <v>1021</v>
      </c>
      <c r="BF24" s="15">
        <f t="shared" ref="BF24:BF25" si="162">(BE24/BD24-1)*100</f>
        <v>40.633608815426989</v>
      </c>
      <c r="BG24" s="22">
        <v>6472</v>
      </c>
      <c r="BH24" s="22">
        <v>123126</v>
      </c>
      <c r="BI24" s="15">
        <f t="shared" ref="BI24:BI25" si="163">(BH24/BG24-1)*100</f>
        <v>1802.4412855377009</v>
      </c>
      <c r="BJ24" s="23">
        <f>BM24-BG24</f>
        <v>1019</v>
      </c>
      <c r="BK24" s="22">
        <f>BN24-BH24</f>
        <v>295</v>
      </c>
      <c r="BL24" s="15">
        <f t="shared" ref="BL24:BL25" si="164">(BK24/BJ24-1)*100</f>
        <v>-71.050049067713445</v>
      </c>
      <c r="BM24" s="22">
        <v>7491</v>
      </c>
      <c r="BN24" s="22">
        <v>123421</v>
      </c>
      <c r="BO24" s="15">
        <f t="shared" ref="BO24:BO25" si="165">(BN24/BM24-1)*100</f>
        <v>1547.5904418635696</v>
      </c>
      <c r="BP24" s="23">
        <f>BS24-BM24</f>
        <v>416</v>
      </c>
      <c r="BQ24" s="22">
        <f>BT24-BN24</f>
        <v>1466</v>
      </c>
      <c r="BR24" s="15">
        <f t="shared" ref="BR24:BR25" si="166">(BQ24/BP24-1)*100</f>
        <v>252.40384615384616</v>
      </c>
      <c r="BS24" s="22">
        <v>7907</v>
      </c>
      <c r="BT24" s="22">
        <v>124887</v>
      </c>
      <c r="BU24" s="15">
        <f t="shared" ref="BU24:BU25" si="167">(BT24/BS24-1)*100</f>
        <v>1479.4485898570888</v>
      </c>
      <c r="BV24" s="23">
        <f>BY24-BS24</f>
        <v>6282</v>
      </c>
      <c r="BW24" s="22">
        <f>BZ24-BT24</f>
        <v>1336</v>
      </c>
      <c r="BX24" s="15">
        <f t="shared" ref="BX24:BX25" si="168">(BW24/BV24-1)*100</f>
        <v>-78.732887615409112</v>
      </c>
      <c r="BY24" s="22">
        <v>14189</v>
      </c>
      <c r="BZ24" s="22">
        <v>126223</v>
      </c>
      <c r="CA24" s="15">
        <f t="shared" ref="CA24:CA25" si="169">(BZ24/BY24-1)*100</f>
        <v>789.58348016068794</v>
      </c>
    </row>
    <row r="25" spans="1:79" s="1" customFormat="1" ht="19.5" customHeight="1">
      <c r="A25" s="118"/>
      <c r="B25" s="120"/>
      <c r="C25" s="33" t="s">
        <v>50</v>
      </c>
      <c r="D25" s="17">
        <v>74922</v>
      </c>
      <c r="E25" s="17">
        <v>62331</v>
      </c>
      <c r="F25" s="17">
        <v>91273</v>
      </c>
      <c r="G25" s="17">
        <v>17625</v>
      </c>
      <c r="H25" s="17">
        <v>231166</v>
      </c>
      <c r="I25" s="17">
        <v>381079</v>
      </c>
      <c r="J25" s="17">
        <v>226514</v>
      </c>
      <c r="K25" s="17">
        <v>22169</v>
      </c>
      <c r="L25" s="17">
        <v>106385</v>
      </c>
      <c r="M25" s="18">
        <f t="shared" si="0"/>
        <v>379.88181695159903</v>
      </c>
      <c r="N25" s="14">
        <f>Q25-K25</f>
        <v>20966</v>
      </c>
      <c r="O25" s="14">
        <f>R25-L25</f>
        <v>12889</v>
      </c>
      <c r="P25" s="18">
        <f t="shared" si="1"/>
        <v>-38.524277401507199</v>
      </c>
      <c r="Q25" s="17">
        <v>43135</v>
      </c>
      <c r="R25" s="17">
        <v>119274</v>
      </c>
      <c r="S25" s="18">
        <f t="shared" si="2"/>
        <v>176.51327228468762</v>
      </c>
      <c r="T25" s="14">
        <f>W25-Q25</f>
        <v>30758</v>
      </c>
      <c r="U25" s="14">
        <f>X25-R25</f>
        <v>31047</v>
      </c>
      <c r="V25" s="18">
        <f t="shared" si="150"/>
        <v>0.93959295142727051</v>
      </c>
      <c r="W25" s="17">
        <v>73893</v>
      </c>
      <c r="X25" s="17">
        <v>150321</v>
      </c>
      <c r="Y25" s="18">
        <f t="shared" si="151"/>
        <v>103.43063619016687</v>
      </c>
      <c r="Z25" s="14">
        <f>AC25-W25</f>
        <v>16754</v>
      </c>
      <c r="AA25" s="14">
        <f>AD25-X25</f>
        <v>450906</v>
      </c>
      <c r="AB25" s="18">
        <f t="shared" si="152"/>
        <v>2591.3334129163186</v>
      </c>
      <c r="AC25" s="17">
        <v>90647</v>
      </c>
      <c r="AD25" s="17">
        <v>601227</v>
      </c>
      <c r="AE25" s="18">
        <f t="shared" si="153"/>
        <v>563.2618840116055</v>
      </c>
      <c r="AF25" s="14">
        <f>AI25-AC25</f>
        <v>13294</v>
      </c>
      <c r="AG25" s="14">
        <f>AJ25-AD25</f>
        <v>561321</v>
      </c>
      <c r="AH25" s="18">
        <f t="shared" si="154"/>
        <v>4122.363472243117</v>
      </c>
      <c r="AI25" s="17">
        <v>103941</v>
      </c>
      <c r="AJ25" s="17">
        <v>1162548</v>
      </c>
      <c r="AK25" s="18">
        <f t="shared" si="155"/>
        <v>1018.4691315265392</v>
      </c>
      <c r="AL25" s="14">
        <f>AO25-AI25</f>
        <v>16527</v>
      </c>
      <c r="AM25" s="14">
        <f>AP25-AJ25</f>
        <v>12061</v>
      </c>
      <c r="AN25" s="18">
        <f t="shared" si="156"/>
        <v>-27.022448115205421</v>
      </c>
      <c r="AO25" s="17">
        <v>120468</v>
      </c>
      <c r="AP25" s="17">
        <v>1174609</v>
      </c>
      <c r="AQ25" s="18">
        <f t="shared" si="157"/>
        <v>875.03818441411829</v>
      </c>
      <c r="AR25" s="14">
        <f>AU25-AO25</f>
        <v>20073</v>
      </c>
      <c r="AS25" s="14">
        <f>AV25-AP25</f>
        <v>11579</v>
      </c>
      <c r="AT25" s="18">
        <f t="shared" si="158"/>
        <v>-42.315548248891545</v>
      </c>
      <c r="AU25" s="17">
        <v>140541</v>
      </c>
      <c r="AV25" s="17">
        <v>1186188</v>
      </c>
      <c r="AW25" s="18">
        <f t="shared" si="159"/>
        <v>744.01562533353263</v>
      </c>
      <c r="AX25" s="14">
        <f>BA25-AU25</f>
        <v>19901</v>
      </c>
      <c r="AY25" s="14">
        <f>BB25-AV25</f>
        <v>30458</v>
      </c>
      <c r="AZ25" s="18">
        <f t="shared" si="160"/>
        <v>53.047585548464895</v>
      </c>
      <c r="BA25" s="17">
        <v>160442</v>
      </c>
      <c r="BB25" s="17">
        <v>1216646</v>
      </c>
      <c r="BC25" s="18">
        <f t="shared" si="161"/>
        <v>658.30892160406881</v>
      </c>
      <c r="BD25" s="14">
        <f>BG25-BA25</f>
        <v>17792</v>
      </c>
      <c r="BE25" s="14">
        <f>BH25-BB25</f>
        <v>27355</v>
      </c>
      <c r="BF25" s="18">
        <f t="shared" si="162"/>
        <v>53.74887589928057</v>
      </c>
      <c r="BG25" s="17">
        <v>178234</v>
      </c>
      <c r="BH25" s="17">
        <v>1244001</v>
      </c>
      <c r="BI25" s="18">
        <f t="shared" si="163"/>
        <v>597.95942412783199</v>
      </c>
      <c r="BJ25" s="14">
        <f>BM25-BG25</f>
        <v>26162</v>
      </c>
      <c r="BK25" s="14">
        <f>BN25-BH25</f>
        <v>7242</v>
      </c>
      <c r="BL25" s="18">
        <f t="shared" si="164"/>
        <v>-72.318630074153361</v>
      </c>
      <c r="BM25" s="17">
        <v>204396</v>
      </c>
      <c r="BN25" s="17">
        <v>1251243</v>
      </c>
      <c r="BO25" s="18">
        <f t="shared" si="165"/>
        <v>512.16608935595605</v>
      </c>
      <c r="BP25" s="14">
        <f>BS25-BM25</f>
        <v>7745</v>
      </c>
      <c r="BQ25" s="14">
        <f>BT25-BN25</f>
        <v>37135</v>
      </c>
      <c r="BR25" s="18">
        <f t="shared" si="166"/>
        <v>379.47062621045842</v>
      </c>
      <c r="BS25" s="17">
        <v>212141</v>
      </c>
      <c r="BT25" s="17">
        <v>1288378</v>
      </c>
      <c r="BU25" s="18">
        <f t="shared" si="167"/>
        <v>507.32154557581987</v>
      </c>
      <c r="BV25" s="14">
        <f>BY25-BS25</f>
        <v>14373</v>
      </c>
      <c r="BW25" s="14">
        <f>BZ25-BT25</f>
        <v>33944</v>
      </c>
      <c r="BX25" s="18">
        <f t="shared" si="168"/>
        <v>136.16503165657829</v>
      </c>
      <c r="BY25" s="17">
        <v>226514</v>
      </c>
      <c r="BZ25" s="17">
        <v>1322322</v>
      </c>
      <c r="CA25" s="18">
        <f t="shared" si="169"/>
        <v>483.77053956929814</v>
      </c>
    </row>
    <row r="26" spans="1:79" s="1" customFormat="1" ht="19.5" customHeight="1" thickBot="1">
      <c r="A26" s="119"/>
      <c r="B26" s="121"/>
      <c r="C26" s="34" t="s">
        <v>51</v>
      </c>
      <c r="D26" s="19">
        <f t="shared" ref="D26:L26" si="170">D25/D24</f>
        <v>0.5713697407856505</v>
      </c>
      <c r="E26" s="19">
        <f t="shared" si="170"/>
        <v>4.0771193092621667</v>
      </c>
      <c r="F26" s="19">
        <f t="shared" si="170"/>
        <v>10.395558086560364</v>
      </c>
      <c r="G26" s="19">
        <f t="shared" si="170"/>
        <v>39.166666666666664</v>
      </c>
      <c r="H26" s="20">
        <f>H25/H24</f>
        <v>5.6420482280581865</v>
      </c>
      <c r="I26" s="20">
        <f>I25/I24</f>
        <v>2.811146355857185</v>
      </c>
      <c r="J26" s="20">
        <f>J25/J24</f>
        <v>15.964056663612658</v>
      </c>
      <c r="K26" s="20">
        <f t="shared" si="170"/>
        <v>481.93478260869563</v>
      </c>
      <c r="L26" s="20">
        <f t="shared" si="170"/>
        <v>4.7000220896841176</v>
      </c>
      <c r="M26" s="21"/>
      <c r="N26" s="20">
        <f>N25/N24</f>
        <v>24.550351288056206</v>
      </c>
      <c r="O26" s="20">
        <f>O25/O24</f>
        <v>24.882239382239383</v>
      </c>
      <c r="P26" s="21"/>
      <c r="Q26" s="20">
        <f>Q25/Q24</f>
        <v>47.927777777777777</v>
      </c>
      <c r="R26" s="20">
        <f>R25/R24</f>
        <v>5.1515570336457479</v>
      </c>
      <c r="S26" s="21"/>
      <c r="T26" s="20">
        <f>T25/T24</f>
        <v>22.63281824871229</v>
      </c>
      <c r="U26" s="20">
        <f>U25/U24</f>
        <v>25.490147783251231</v>
      </c>
      <c r="V26" s="21"/>
      <c r="W26" s="20">
        <f>W25/W24</f>
        <v>32.710491367861884</v>
      </c>
      <c r="X26" s="20">
        <f>X25/X24</f>
        <v>6.1680275737556931</v>
      </c>
      <c r="Y26" s="21"/>
      <c r="Z26" s="20">
        <f>Z25/Z24</f>
        <v>23.140883977900554</v>
      </c>
      <c r="AA26" s="20">
        <f>AA25/AA24</f>
        <v>7.9963468052279696</v>
      </c>
      <c r="AB26" s="21"/>
      <c r="AC26" s="20">
        <f>AC25/AC24</f>
        <v>30.387864565873283</v>
      </c>
      <c r="AD26" s="20">
        <f>AD25/AD24</f>
        <v>7.4446136701337293</v>
      </c>
      <c r="AE26" s="21"/>
      <c r="AF26" s="20">
        <f>AF25/AF24</f>
        <v>25.96484375</v>
      </c>
      <c r="AG26" s="20">
        <f>AG25/AG24</f>
        <v>14.298257679963319</v>
      </c>
      <c r="AH26" s="21"/>
      <c r="AI26" s="20">
        <f>AI25/AI24</f>
        <v>29.73991416309013</v>
      </c>
      <c r="AJ26" s="20">
        <f>AJ25/AJ24</f>
        <v>9.6864470329450576</v>
      </c>
      <c r="AK26" s="21"/>
      <c r="AL26" s="20">
        <f>AL25/AL24</f>
        <v>23.08240223463687</v>
      </c>
      <c r="AM26" s="20">
        <f>AM25/AM24</f>
        <v>27.854503464203233</v>
      </c>
      <c r="AN26" s="21"/>
      <c r="AO26" s="20">
        <f>AO25/AO24</f>
        <v>28.607931607694134</v>
      </c>
      <c r="AP26" s="20">
        <f>AP25/AP24</f>
        <v>9.7517579762725095</v>
      </c>
      <c r="AQ26" s="21"/>
      <c r="AR26" s="20">
        <f>AR25/AR24</f>
        <v>26.035019455252918</v>
      </c>
      <c r="AS26" s="20">
        <f>AS25/AS24</f>
        <v>27.244705882352942</v>
      </c>
      <c r="AT26" s="21"/>
      <c r="AU26" s="20">
        <f>AU25/AU24</f>
        <v>28.209755118426333</v>
      </c>
      <c r="AV26" s="20">
        <f>AV25/AV24</f>
        <v>9.8132631787947986</v>
      </c>
      <c r="AW26" s="21"/>
      <c r="AX26" s="20">
        <f>AX25/AX24</f>
        <v>26.048429319371728</v>
      </c>
      <c r="AY26" s="20">
        <f>AY25/AY24</f>
        <v>24.782750203417411</v>
      </c>
      <c r="AZ26" s="21"/>
      <c r="BA26" s="20">
        <f>BA25/BA24</f>
        <v>27.922380786634179</v>
      </c>
      <c r="BB26" s="20">
        <f>BB25/BB24</f>
        <v>9.963932680889398</v>
      </c>
      <c r="BC26" s="21"/>
      <c r="BD26" s="20">
        <f>BD25/BD24</f>
        <v>24.506887052341597</v>
      </c>
      <c r="BE26" s="20">
        <f>BE25/BE24</f>
        <v>26.792360430950048</v>
      </c>
      <c r="BF26" s="21"/>
      <c r="BG26" s="20">
        <f>BG25/BG24</f>
        <v>27.539245982694684</v>
      </c>
      <c r="BH26" s="20">
        <f>BH25/BH24</f>
        <v>10.103479362604162</v>
      </c>
      <c r="BI26" s="21"/>
      <c r="BJ26" s="20">
        <f>BJ25/BJ24</f>
        <v>25.674190382728163</v>
      </c>
      <c r="BK26" s="20">
        <f>BK25/BK24</f>
        <v>24.54915254237288</v>
      </c>
      <c r="BL26" s="21"/>
      <c r="BM26" s="20">
        <f>BM25/BM24</f>
        <v>27.285542651181419</v>
      </c>
      <c r="BN26" s="20">
        <f>BN25/BN24</f>
        <v>10.138007308318681</v>
      </c>
      <c r="BO26" s="21"/>
      <c r="BP26" s="20">
        <f>BP25/BP24</f>
        <v>18.61778846153846</v>
      </c>
      <c r="BQ26" s="20">
        <f>BQ25/BQ24</f>
        <v>25.330832196452935</v>
      </c>
      <c r="BR26" s="21"/>
      <c r="BS26" s="20">
        <f>BS25/BS24</f>
        <v>26.829518148476033</v>
      </c>
      <c r="BT26" s="20">
        <f>BT25/BT24</f>
        <v>10.316349980382265</v>
      </c>
      <c r="BU26" s="21"/>
      <c r="BV26" s="20">
        <f>BV25/BV24</f>
        <v>2.2879656160458453</v>
      </c>
      <c r="BW26" s="20">
        <f>BW25/BW24</f>
        <v>25.407185628742514</v>
      </c>
      <c r="BX26" s="21"/>
      <c r="BY26" s="20">
        <f>BY25/BY24</f>
        <v>15.964056663612658</v>
      </c>
      <c r="BZ26" s="20">
        <f>BZ25/BZ24</f>
        <v>10.476078052335945</v>
      </c>
      <c r="CA26" s="21"/>
    </row>
    <row r="27" spans="1:79" s="1" customFormat="1" ht="19.5" customHeight="1">
      <c r="A27" s="117" t="s">
        <v>38</v>
      </c>
      <c r="B27" s="114">
        <v>2610</v>
      </c>
      <c r="C27" s="32" t="s">
        <v>42</v>
      </c>
      <c r="D27" s="22">
        <v>0</v>
      </c>
      <c r="E27" s="22">
        <v>5</v>
      </c>
      <c r="F27" s="22">
        <v>21500</v>
      </c>
      <c r="G27" s="22">
        <v>0</v>
      </c>
      <c r="H27" s="22">
        <v>0</v>
      </c>
      <c r="I27" s="22">
        <v>36602</v>
      </c>
      <c r="J27" s="22">
        <v>63000</v>
      </c>
      <c r="K27" s="22">
        <v>0</v>
      </c>
      <c r="L27" s="22">
        <v>0</v>
      </c>
      <c r="M27" s="15" t="e">
        <f t="shared" si="0"/>
        <v>#DIV/0!</v>
      </c>
      <c r="N27" s="23">
        <f>Q27-K27</f>
        <v>0</v>
      </c>
      <c r="O27" s="22">
        <f>R27-L27</f>
        <v>0</v>
      </c>
      <c r="P27" s="15" t="e">
        <f t="shared" si="1"/>
        <v>#DIV/0!</v>
      </c>
      <c r="Q27" s="22">
        <v>0</v>
      </c>
      <c r="R27" s="22">
        <v>0</v>
      </c>
      <c r="S27" s="15" t="e">
        <f t="shared" si="2"/>
        <v>#DIV/0!</v>
      </c>
      <c r="T27" s="23">
        <f>W27-Q27</f>
        <v>0</v>
      </c>
      <c r="U27" s="22">
        <f>X27-R27</f>
        <v>0</v>
      </c>
      <c r="V27" s="15" t="e">
        <f t="shared" ref="V27:V28" si="171">(U27/T27-1)*100</f>
        <v>#DIV/0!</v>
      </c>
      <c r="W27" s="22">
        <v>0</v>
      </c>
      <c r="X27" s="22">
        <v>0</v>
      </c>
      <c r="Y27" s="15" t="e">
        <f t="shared" ref="Y27:Y28" si="172">(X27/W27-1)*100</f>
        <v>#DIV/0!</v>
      </c>
      <c r="Z27" s="23">
        <f>AC27-W27</f>
        <v>0</v>
      </c>
      <c r="AA27" s="22">
        <f>AD27-X27</f>
        <v>0</v>
      </c>
      <c r="AB27" s="15" t="e">
        <f t="shared" ref="AB27:AB28" si="173">(AA27/Z27-1)*100</f>
        <v>#DIV/0!</v>
      </c>
      <c r="AC27" s="22">
        <v>0</v>
      </c>
      <c r="AD27" s="22">
        <v>0</v>
      </c>
      <c r="AE27" s="15" t="e">
        <f t="shared" ref="AE27:AE28" si="174">(AD27/AC27-1)*100</f>
        <v>#DIV/0!</v>
      </c>
      <c r="AF27" s="23">
        <f>AI27-AC27</f>
        <v>0</v>
      </c>
      <c r="AG27" s="22">
        <f>AJ27-AD27</f>
        <v>0</v>
      </c>
      <c r="AH27" s="15" t="e">
        <f t="shared" ref="AH27:AH28" si="175">(AG27/AF27-1)*100</f>
        <v>#DIV/0!</v>
      </c>
      <c r="AI27" s="22">
        <v>0</v>
      </c>
      <c r="AJ27" s="22">
        <v>0</v>
      </c>
      <c r="AK27" s="15" t="e">
        <f t="shared" ref="AK27:AK28" si="176">(AJ27/AI27-1)*100</f>
        <v>#DIV/0!</v>
      </c>
      <c r="AL27" s="23">
        <f>AO27-AI27</f>
        <v>63000</v>
      </c>
      <c r="AM27" s="22">
        <f>AP27-AJ27</f>
        <v>0</v>
      </c>
      <c r="AN27" s="15">
        <f t="shared" ref="AN27:AN28" si="177">(AM27/AL27-1)*100</f>
        <v>-100</v>
      </c>
      <c r="AO27" s="22">
        <v>63000</v>
      </c>
      <c r="AP27" s="22">
        <v>0</v>
      </c>
      <c r="AQ27" s="15">
        <f t="shared" ref="AQ27:AQ28" si="178">(AP27/AO27-1)*100</f>
        <v>-100</v>
      </c>
      <c r="AR27" s="23">
        <f>AU27-AO27</f>
        <v>0</v>
      </c>
      <c r="AS27" s="22">
        <f>AV27-AP27</f>
        <v>0</v>
      </c>
      <c r="AT27" s="15" t="e">
        <f t="shared" ref="AT27:AT28" si="179">(AS27/AR27-1)*100</f>
        <v>#DIV/0!</v>
      </c>
      <c r="AU27" s="22">
        <v>63000</v>
      </c>
      <c r="AV27" s="22">
        <v>0</v>
      </c>
      <c r="AW27" s="15">
        <f t="shared" ref="AW27:AW28" si="180">(AV27/AU27-1)*100</f>
        <v>-100</v>
      </c>
      <c r="AX27" s="23">
        <f>BA27-AU27</f>
        <v>0</v>
      </c>
      <c r="AY27" s="22">
        <f>BB27-AV27</f>
        <v>0</v>
      </c>
      <c r="AZ27" s="15" t="e">
        <f t="shared" ref="AZ27:AZ28" si="181">(AY27/AX27-1)*100</f>
        <v>#DIV/0!</v>
      </c>
      <c r="BA27" s="22">
        <v>63000</v>
      </c>
      <c r="BB27" s="22">
        <v>0</v>
      </c>
      <c r="BC27" s="15">
        <f t="shared" ref="BC27:BC28" si="182">(BB27/BA27-1)*100</f>
        <v>-100</v>
      </c>
      <c r="BD27" s="23">
        <f>BG27-BA27</f>
        <v>0</v>
      </c>
      <c r="BE27" s="22">
        <f>BH27-BB27</f>
        <v>0</v>
      </c>
      <c r="BF27" s="15" t="e">
        <f t="shared" ref="BF27:BF28" si="183">(BE27/BD27-1)*100</f>
        <v>#DIV/0!</v>
      </c>
      <c r="BG27" s="22">
        <v>63000</v>
      </c>
      <c r="BH27" s="22">
        <v>0</v>
      </c>
      <c r="BI27" s="15">
        <f t="shared" ref="BI27:BI28" si="184">(BH27/BG27-1)*100</f>
        <v>-100</v>
      </c>
      <c r="BJ27" s="23">
        <f>BM27-BG27</f>
        <v>0</v>
      </c>
      <c r="BK27" s="22">
        <f>BN27-BH27</f>
        <v>0</v>
      </c>
      <c r="BL27" s="15" t="e">
        <f t="shared" ref="BL27:BL28" si="185">(BK27/BJ27-1)*100</f>
        <v>#DIV/0!</v>
      </c>
      <c r="BM27" s="22">
        <v>63000</v>
      </c>
      <c r="BN27" s="22">
        <v>0</v>
      </c>
      <c r="BO27" s="15">
        <f t="shared" ref="BO27:BO28" si="186">(BN27/BM27-1)*100</f>
        <v>-100</v>
      </c>
      <c r="BP27" s="23">
        <f>BS27-BM27</f>
        <v>0</v>
      </c>
      <c r="BQ27" s="22">
        <f>BT27-BN27</f>
        <v>0</v>
      </c>
      <c r="BR27" s="15" t="e">
        <f t="shared" ref="BR27:BR28" si="187">(BQ27/BP27-1)*100</f>
        <v>#DIV/0!</v>
      </c>
      <c r="BS27" s="22">
        <v>63000</v>
      </c>
      <c r="BT27" s="22">
        <v>0</v>
      </c>
      <c r="BU27" s="15">
        <f t="shared" ref="BU27:BU28" si="188">(BT27/BS27-1)*100</f>
        <v>-100</v>
      </c>
      <c r="BV27" s="23">
        <f>BY27-BS27</f>
        <v>0</v>
      </c>
      <c r="BW27" s="22">
        <f>BZ27-BT27</f>
        <v>0</v>
      </c>
      <c r="BX27" s="15" t="e">
        <f t="shared" ref="BX27:BX28" si="189">(BW27/BV27-1)*100</f>
        <v>#DIV/0!</v>
      </c>
      <c r="BY27" s="22">
        <v>63000</v>
      </c>
      <c r="BZ27" s="22">
        <v>0</v>
      </c>
      <c r="CA27" s="15">
        <f t="shared" ref="CA27:CA28" si="190">(BZ27/BY27-1)*100</f>
        <v>-100</v>
      </c>
    </row>
    <row r="28" spans="1:79" s="1" customFormat="1" ht="19.5" customHeight="1">
      <c r="A28" s="118"/>
      <c r="B28" s="120"/>
      <c r="C28" s="33" t="s">
        <v>50</v>
      </c>
      <c r="D28" s="17">
        <v>0</v>
      </c>
      <c r="E28" s="17">
        <v>520</v>
      </c>
      <c r="F28" s="17">
        <v>12660</v>
      </c>
      <c r="G28" s="17">
        <v>0</v>
      </c>
      <c r="H28" s="17">
        <v>0</v>
      </c>
      <c r="I28" s="17">
        <v>19639</v>
      </c>
      <c r="J28" s="17">
        <v>5155</v>
      </c>
      <c r="K28" s="17">
        <v>0</v>
      </c>
      <c r="L28" s="17">
        <v>0</v>
      </c>
      <c r="M28" s="18" t="e">
        <f t="shared" si="0"/>
        <v>#DIV/0!</v>
      </c>
      <c r="N28" s="14">
        <f>Q28-K28</f>
        <v>0</v>
      </c>
      <c r="O28" s="14">
        <f>R28-L28</f>
        <v>0</v>
      </c>
      <c r="P28" s="18" t="e">
        <f t="shared" si="1"/>
        <v>#DIV/0!</v>
      </c>
      <c r="Q28" s="17">
        <v>0</v>
      </c>
      <c r="R28" s="17">
        <v>0</v>
      </c>
      <c r="S28" s="18" t="e">
        <f t="shared" si="2"/>
        <v>#DIV/0!</v>
      </c>
      <c r="T28" s="14">
        <f>W28-Q28</f>
        <v>0</v>
      </c>
      <c r="U28" s="14">
        <f>X28-R28</f>
        <v>0</v>
      </c>
      <c r="V28" s="18" t="e">
        <f t="shared" si="171"/>
        <v>#DIV/0!</v>
      </c>
      <c r="W28" s="17">
        <v>0</v>
      </c>
      <c r="X28" s="17">
        <v>0</v>
      </c>
      <c r="Y28" s="18" t="e">
        <f t="shared" si="172"/>
        <v>#DIV/0!</v>
      </c>
      <c r="Z28" s="14">
        <f>AC28-W28</f>
        <v>0</v>
      </c>
      <c r="AA28" s="14">
        <f>AD28-X28</f>
        <v>0</v>
      </c>
      <c r="AB28" s="18" t="e">
        <f t="shared" si="173"/>
        <v>#DIV/0!</v>
      </c>
      <c r="AC28" s="17">
        <v>0</v>
      </c>
      <c r="AD28" s="17">
        <v>0</v>
      </c>
      <c r="AE28" s="18" t="e">
        <f t="shared" si="174"/>
        <v>#DIV/0!</v>
      </c>
      <c r="AF28" s="14">
        <f>AI28-AC28</f>
        <v>0</v>
      </c>
      <c r="AG28" s="14">
        <f>AJ28-AD28</f>
        <v>0</v>
      </c>
      <c r="AH28" s="18" t="e">
        <f t="shared" si="175"/>
        <v>#DIV/0!</v>
      </c>
      <c r="AI28" s="17">
        <v>0</v>
      </c>
      <c r="AJ28" s="17">
        <v>0</v>
      </c>
      <c r="AK28" s="18" t="e">
        <f t="shared" si="176"/>
        <v>#DIV/0!</v>
      </c>
      <c r="AL28" s="14">
        <f>AO28-AI28</f>
        <v>5155</v>
      </c>
      <c r="AM28" s="14">
        <f>AP28-AJ28</f>
        <v>0</v>
      </c>
      <c r="AN28" s="18">
        <f t="shared" si="177"/>
        <v>-100</v>
      </c>
      <c r="AO28" s="17">
        <v>5155</v>
      </c>
      <c r="AP28" s="17">
        <v>0</v>
      </c>
      <c r="AQ28" s="18">
        <f t="shared" si="178"/>
        <v>-100</v>
      </c>
      <c r="AR28" s="14">
        <f>AU28-AO28</f>
        <v>0</v>
      </c>
      <c r="AS28" s="14">
        <f>AV28-AP28</f>
        <v>0</v>
      </c>
      <c r="AT28" s="18" t="e">
        <f t="shared" si="179"/>
        <v>#DIV/0!</v>
      </c>
      <c r="AU28" s="17">
        <v>5155</v>
      </c>
      <c r="AV28" s="17">
        <v>0</v>
      </c>
      <c r="AW28" s="18">
        <f t="shared" si="180"/>
        <v>-100</v>
      </c>
      <c r="AX28" s="14">
        <f>BA28-AU28</f>
        <v>0</v>
      </c>
      <c r="AY28" s="14">
        <f>BB28-AV28</f>
        <v>0</v>
      </c>
      <c r="AZ28" s="18" t="e">
        <f t="shared" si="181"/>
        <v>#DIV/0!</v>
      </c>
      <c r="BA28" s="17">
        <v>5155</v>
      </c>
      <c r="BB28" s="17">
        <v>0</v>
      </c>
      <c r="BC28" s="18">
        <f t="shared" si="182"/>
        <v>-100</v>
      </c>
      <c r="BD28" s="14">
        <f>BG28-BA28</f>
        <v>0</v>
      </c>
      <c r="BE28" s="14">
        <f>BH28-BB28</f>
        <v>0</v>
      </c>
      <c r="BF28" s="18" t="e">
        <f t="shared" si="183"/>
        <v>#DIV/0!</v>
      </c>
      <c r="BG28" s="17">
        <v>5155</v>
      </c>
      <c r="BH28" s="17">
        <v>0</v>
      </c>
      <c r="BI28" s="18">
        <f t="shared" si="184"/>
        <v>-100</v>
      </c>
      <c r="BJ28" s="14">
        <f>BM28-BG28</f>
        <v>0</v>
      </c>
      <c r="BK28" s="14">
        <f>BN28-BH28</f>
        <v>0</v>
      </c>
      <c r="BL28" s="18" t="e">
        <f t="shared" si="185"/>
        <v>#DIV/0!</v>
      </c>
      <c r="BM28" s="17">
        <v>5155</v>
      </c>
      <c r="BN28" s="17">
        <v>0</v>
      </c>
      <c r="BO28" s="18">
        <f t="shared" si="186"/>
        <v>-100</v>
      </c>
      <c r="BP28" s="14">
        <f>BS28-BM28</f>
        <v>0</v>
      </c>
      <c r="BQ28" s="14">
        <f>BT28-BN28</f>
        <v>0</v>
      </c>
      <c r="BR28" s="18" t="e">
        <f t="shared" si="187"/>
        <v>#DIV/0!</v>
      </c>
      <c r="BS28" s="17">
        <v>5155</v>
      </c>
      <c r="BT28" s="17">
        <v>0</v>
      </c>
      <c r="BU28" s="18">
        <f t="shared" si="188"/>
        <v>-100</v>
      </c>
      <c r="BV28" s="14">
        <f>BY28-BS28</f>
        <v>0</v>
      </c>
      <c r="BW28" s="14">
        <f>BZ28-BT28</f>
        <v>0</v>
      </c>
      <c r="BX28" s="18" t="e">
        <f t="shared" si="189"/>
        <v>#DIV/0!</v>
      </c>
      <c r="BY28" s="17">
        <v>5155</v>
      </c>
      <c r="BZ28" s="17">
        <v>0</v>
      </c>
      <c r="CA28" s="18">
        <f t="shared" si="190"/>
        <v>-100</v>
      </c>
    </row>
    <row r="29" spans="1:79" s="1" customFormat="1" ht="19.5" customHeight="1" thickBot="1">
      <c r="A29" s="119"/>
      <c r="B29" s="121"/>
      <c r="C29" s="34" t="s">
        <v>51</v>
      </c>
      <c r="D29" s="19" t="e">
        <f t="shared" ref="D29:L29" si="191">D28/D27</f>
        <v>#DIV/0!</v>
      </c>
      <c r="E29" s="19">
        <f t="shared" si="191"/>
        <v>104</v>
      </c>
      <c r="F29" s="19">
        <f t="shared" si="191"/>
        <v>0.58883720930232553</v>
      </c>
      <c r="G29" s="19" t="e">
        <f t="shared" si="191"/>
        <v>#DIV/0!</v>
      </c>
      <c r="H29" s="20" t="e">
        <f>H28/H27</f>
        <v>#DIV/0!</v>
      </c>
      <c r="I29" s="20">
        <f>I28/I27</f>
        <v>0.53655537948745968</v>
      </c>
      <c r="J29" s="20">
        <f>J28/J27</f>
        <v>8.1825396825396829E-2</v>
      </c>
      <c r="K29" s="20" t="e">
        <f t="shared" si="191"/>
        <v>#DIV/0!</v>
      </c>
      <c r="L29" s="20" t="e">
        <f t="shared" si="191"/>
        <v>#DIV/0!</v>
      </c>
      <c r="M29" s="21"/>
      <c r="N29" s="20" t="e">
        <f>N28/N27</f>
        <v>#DIV/0!</v>
      </c>
      <c r="O29" s="20" t="e">
        <f>O28/O27</f>
        <v>#DIV/0!</v>
      </c>
      <c r="P29" s="21"/>
      <c r="Q29" s="20" t="e">
        <f>Q28/Q27</f>
        <v>#DIV/0!</v>
      </c>
      <c r="R29" s="20" t="e">
        <f>R28/R27</f>
        <v>#DIV/0!</v>
      </c>
      <c r="S29" s="21"/>
      <c r="T29" s="20" t="e">
        <f>T28/T27</f>
        <v>#DIV/0!</v>
      </c>
      <c r="U29" s="20" t="e">
        <f>U28/U27</f>
        <v>#DIV/0!</v>
      </c>
      <c r="V29" s="21"/>
      <c r="W29" s="20" t="e">
        <f>W28/W27</f>
        <v>#DIV/0!</v>
      </c>
      <c r="X29" s="20" t="e">
        <f>X28/X27</f>
        <v>#DIV/0!</v>
      </c>
      <c r="Y29" s="21"/>
      <c r="Z29" s="20" t="e">
        <f>Z28/Z27</f>
        <v>#DIV/0!</v>
      </c>
      <c r="AA29" s="20" t="e">
        <f>AA28/AA27</f>
        <v>#DIV/0!</v>
      </c>
      <c r="AB29" s="21"/>
      <c r="AC29" s="20" t="e">
        <f>AC28/AC27</f>
        <v>#DIV/0!</v>
      </c>
      <c r="AD29" s="20" t="e">
        <f>AD28/AD27</f>
        <v>#DIV/0!</v>
      </c>
      <c r="AE29" s="21"/>
      <c r="AF29" s="20" t="e">
        <f>AF28/AF27</f>
        <v>#DIV/0!</v>
      </c>
      <c r="AG29" s="20" t="e">
        <f>AG28/AG27</f>
        <v>#DIV/0!</v>
      </c>
      <c r="AH29" s="21"/>
      <c r="AI29" s="20" t="e">
        <f>AI28/AI27</f>
        <v>#DIV/0!</v>
      </c>
      <c r="AJ29" s="20" t="e">
        <f>AJ28/AJ27</f>
        <v>#DIV/0!</v>
      </c>
      <c r="AK29" s="21"/>
      <c r="AL29" s="20">
        <f>AL28/AL27</f>
        <v>8.1825396825396829E-2</v>
      </c>
      <c r="AM29" s="20" t="e">
        <f>AM28/AM27</f>
        <v>#DIV/0!</v>
      </c>
      <c r="AN29" s="21"/>
      <c r="AO29" s="20">
        <f>AO28/AO27</f>
        <v>8.1825396825396829E-2</v>
      </c>
      <c r="AP29" s="20" t="e">
        <f>AP28/AP27</f>
        <v>#DIV/0!</v>
      </c>
      <c r="AQ29" s="21"/>
      <c r="AR29" s="20" t="e">
        <f>AR28/AR27</f>
        <v>#DIV/0!</v>
      </c>
      <c r="AS29" s="20" t="e">
        <f>AS28/AS27</f>
        <v>#DIV/0!</v>
      </c>
      <c r="AT29" s="21"/>
      <c r="AU29" s="20">
        <f>AU28/AU27</f>
        <v>8.1825396825396829E-2</v>
      </c>
      <c r="AV29" s="20" t="e">
        <f>AV28/AV27</f>
        <v>#DIV/0!</v>
      </c>
      <c r="AW29" s="21"/>
      <c r="AX29" s="20" t="e">
        <f>AX28/AX27</f>
        <v>#DIV/0!</v>
      </c>
      <c r="AY29" s="20" t="e">
        <f>AY28/AY27</f>
        <v>#DIV/0!</v>
      </c>
      <c r="AZ29" s="21"/>
      <c r="BA29" s="20">
        <f>BA28/BA27</f>
        <v>8.1825396825396829E-2</v>
      </c>
      <c r="BB29" s="20" t="e">
        <f>BB28/BB27</f>
        <v>#DIV/0!</v>
      </c>
      <c r="BC29" s="21"/>
      <c r="BD29" s="20" t="e">
        <f>BD28/BD27</f>
        <v>#DIV/0!</v>
      </c>
      <c r="BE29" s="20" t="e">
        <f>BE28/BE27</f>
        <v>#DIV/0!</v>
      </c>
      <c r="BF29" s="21"/>
      <c r="BG29" s="20">
        <f>BG28/BG27</f>
        <v>8.1825396825396829E-2</v>
      </c>
      <c r="BH29" s="20" t="e">
        <f>BH28/BH27</f>
        <v>#DIV/0!</v>
      </c>
      <c r="BI29" s="21"/>
      <c r="BJ29" s="20" t="e">
        <f>BJ28/BJ27</f>
        <v>#DIV/0!</v>
      </c>
      <c r="BK29" s="20" t="e">
        <f>BK28/BK27</f>
        <v>#DIV/0!</v>
      </c>
      <c r="BL29" s="21"/>
      <c r="BM29" s="20">
        <f>BM28/BM27</f>
        <v>8.1825396825396829E-2</v>
      </c>
      <c r="BN29" s="20" t="e">
        <f>BN28/BN27</f>
        <v>#DIV/0!</v>
      </c>
      <c r="BO29" s="21"/>
      <c r="BP29" s="20" t="e">
        <f>BP28/BP27</f>
        <v>#DIV/0!</v>
      </c>
      <c r="BQ29" s="20" t="e">
        <f>BQ28/BQ27</f>
        <v>#DIV/0!</v>
      </c>
      <c r="BR29" s="21"/>
      <c r="BS29" s="20">
        <f>BS28/BS27</f>
        <v>8.1825396825396829E-2</v>
      </c>
      <c r="BT29" s="20" t="e">
        <f>BT28/BT27</f>
        <v>#DIV/0!</v>
      </c>
      <c r="BU29" s="21"/>
      <c r="BV29" s="20" t="e">
        <f>BV28/BV27</f>
        <v>#DIV/0!</v>
      </c>
      <c r="BW29" s="20" t="e">
        <f>BW28/BW27</f>
        <v>#DIV/0!</v>
      </c>
      <c r="BX29" s="21"/>
      <c r="BY29" s="20">
        <f>BY28/BY27</f>
        <v>8.1825396825396829E-2</v>
      </c>
      <c r="BZ29" s="20" t="e">
        <f>BZ28/BZ27</f>
        <v>#DIV/0!</v>
      </c>
      <c r="CA29" s="21"/>
    </row>
    <row r="30" spans="1:79" s="1" customFormat="1" ht="19.5" customHeight="1">
      <c r="A30" s="117" t="s">
        <v>19</v>
      </c>
      <c r="B30" s="114">
        <v>2611</v>
      </c>
      <c r="C30" s="32" t="s">
        <v>42</v>
      </c>
      <c r="D30" s="22">
        <v>21455.200000000001</v>
      </c>
      <c r="E30" s="22">
        <v>512620</v>
      </c>
      <c r="F30" s="22">
        <v>23669</v>
      </c>
      <c r="G30" s="22">
        <v>864496</v>
      </c>
      <c r="H30" s="22">
        <v>587974</v>
      </c>
      <c r="I30" s="22">
        <v>255208</v>
      </c>
      <c r="J30" s="22">
        <v>582029</v>
      </c>
      <c r="K30" s="22">
        <v>0</v>
      </c>
      <c r="L30" s="22">
        <v>0</v>
      </c>
      <c r="M30" s="15" t="e">
        <f t="shared" si="0"/>
        <v>#DIV/0!</v>
      </c>
      <c r="N30" s="23">
        <f>Q30-K30</f>
        <v>0</v>
      </c>
      <c r="O30" s="22">
        <f>R30-L30</f>
        <v>0</v>
      </c>
      <c r="P30" s="15" t="e">
        <f t="shared" si="1"/>
        <v>#DIV/0!</v>
      </c>
      <c r="Q30" s="22">
        <v>0</v>
      </c>
      <c r="R30" s="22">
        <v>0</v>
      </c>
      <c r="S30" s="15" t="e">
        <f t="shared" si="2"/>
        <v>#DIV/0!</v>
      </c>
      <c r="T30" s="23">
        <f>W30-Q30</f>
        <v>0</v>
      </c>
      <c r="U30" s="22">
        <f>X30-R30</f>
        <v>0</v>
      </c>
      <c r="V30" s="15" t="e">
        <f t="shared" ref="V30:V31" si="192">(U30/T30-1)*100</f>
        <v>#DIV/0!</v>
      </c>
      <c r="W30" s="22">
        <v>0</v>
      </c>
      <c r="X30" s="22">
        <v>0</v>
      </c>
      <c r="Y30" s="15" t="e">
        <f t="shared" ref="Y30:Y31" si="193">(X30/W30-1)*100</f>
        <v>#DIV/0!</v>
      </c>
      <c r="Z30" s="23">
        <f>AC30-W30</f>
        <v>19030</v>
      </c>
      <c r="AA30" s="22">
        <f>AD30-X30</f>
        <v>0</v>
      </c>
      <c r="AB30" s="15">
        <f t="shared" ref="AB30:AB31" si="194">(AA30/Z30-1)*100</f>
        <v>-100</v>
      </c>
      <c r="AC30" s="22">
        <v>19030</v>
      </c>
      <c r="AD30" s="22">
        <v>0</v>
      </c>
      <c r="AE30" s="15">
        <f t="shared" ref="AE30:AE31" si="195">(AD30/AC30-1)*100</f>
        <v>-100</v>
      </c>
      <c r="AF30" s="23">
        <f>AI30-AC30</f>
        <v>0</v>
      </c>
      <c r="AG30" s="22">
        <f>AJ30-AD30</f>
        <v>0</v>
      </c>
      <c r="AH30" s="15" t="e">
        <f t="shared" ref="AH30:AH31" si="196">(AG30/AF30-1)*100</f>
        <v>#DIV/0!</v>
      </c>
      <c r="AI30" s="22">
        <v>19030</v>
      </c>
      <c r="AJ30" s="22">
        <v>0</v>
      </c>
      <c r="AK30" s="15">
        <f t="shared" ref="AK30:AK31" si="197">(AJ30/AI30-1)*100</f>
        <v>-100</v>
      </c>
      <c r="AL30" s="23">
        <f>AO30-AI30</f>
        <v>0</v>
      </c>
      <c r="AM30" s="22">
        <f>AP30-AJ30</f>
        <v>0</v>
      </c>
      <c r="AN30" s="15" t="e">
        <f t="shared" ref="AN30:AN31" si="198">(AM30/AL30-1)*100</f>
        <v>#DIV/0!</v>
      </c>
      <c r="AO30" s="22">
        <v>19030</v>
      </c>
      <c r="AP30" s="22">
        <v>0</v>
      </c>
      <c r="AQ30" s="15">
        <f t="shared" ref="AQ30:AQ31" si="199">(AP30/AO30-1)*100</f>
        <v>-100</v>
      </c>
      <c r="AR30" s="23">
        <f>AU30-AO30</f>
        <v>0</v>
      </c>
      <c r="AS30" s="22">
        <f>AV30-AP30</f>
        <v>0</v>
      </c>
      <c r="AT30" s="15" t="e">
        <f t="shared" ref="AT30:AT31" si="200">(AS30/AR30-1)*100</f>
        <v>#DIV/0!</v>
      </c>
      <c r="AU30" s="22">
        <v>19030</v>
      </c>
      <c r="AV30" s="22">
        <v>0</v>
      </c>
      <c r="AW30" s="15">
        <f t="shared" ref="AW30:AW31" si="201">(AV30/AU30-1)*100</f>
        <v>-100</v>
      </c>
      <c r="AX30" s="23">
        <f>BA30-AU30</f>
        <v>0</v>
      </c>
      <c r="AY30" s="22">
        <f>BB30-AV30</f>
        <v>0</v>
      </c>
      <c r="AZ30" s="15" t="e">
        <f t="shared" ref="AZ30:AZ31" si="202">(AY30/AX30-1)*100</f>
        <v>#DIV/0!</v>
      </c>
      <c r="BA30" s="22">
        <v>19030</v>
      </c>
      <c r="BB30" s="22">
        <v>0</v>
      </c>
      <c r="BC30" s="15">
        <f t="shared" ref="BC30:BC31" si="203">(BB30/BA30-1)*100</f>
        <v>-100</v>
      </c>
      <c r="BD30" s="23">
        <f>BG30-BA30</f>
        <v>215611</v>
      </c>
      <c r="BE30" s="22">
        <f>BH30-BB30</f>
        <v>210</v>
      </c>
      <c r="BF30" s="15">
        <f t="shared" ref="BF30:BF31" si="204">(BE30/BD30-1)*100</f>
        <v>-99.902602371864148</v>
      </c>
      <c r="BG30" s="22">
        <v>234641</v>
      </c>
      <c r="BH30" s="22">
        <v>210</v>
      </c>
      <c r="BI30" s="15">
        <f t="shared" ref="BI30:BI31" si="205">(BH30/BG30-1)*100</f>
        <v>-99.910501574746107</v>
      </c>
      <c r="BJ30" s="23">
        <f>BM30-BG30</f>
        <v>2200</v>
      </c>
      <c r="BK30" s="22">
        <f>BN30-BH30</f>
        <v>31</v>
      </c>
      <c r="BL30" s="15">
        <f t="shared" ref="BL30:BL31" si="206">(BK30/BJ30-1)*100</f>
        <v>-98.590909090909093</v>
      </c>
      <c r="BM30" s="22">
        <v>236841</v>
      </c>
      <c r="BN30" s="22">
        <v>241</v>
      </c>
      <c r="BO30" s="15">
        <f t="shared" ref="BO30:BO31" si="207">(BN30/BM30-1)*100</f>
        <v>-99.898243969582964</v>
      </c>
      <c r="BP30" s="23">
        <f>BS30-BM30</f>
        <v>0</v>
      </c>
      <c r="BQ30" s="22">
        <f>BT30-BN30</f>
        <v>0</v>
      </c>
      <c r="BR30" s="15" t="e">
        <f t="shared" ref="BR30:BR31" si="208">(BQ30/BP30-1)*100</f>
        <v>#DIV/0!</v>
      </c>
      <c r="BS30" s="22">
        <v>236841</v>
      </c>
      <c r="BT30" s="22">
        <v>241</v>
      </c>
      <c r="BU30" s="15">
        <f t="shared" ref="BU30:BU31" si="209">(BT30/BS30-1)*100</f>
        <v>-99.898243969582964</v>
      </c>
      <c r="BV30" s="23">
        <f>BY30-BS30</f>
        <v>345188</v>
      </c>
      <c r="BW30" s="22">
        <f>BZ30-BT30</f>
        <v>2</v>
      </c>
      <c r="BX30" s="15">
        <f t="shared" ref="BX30:BX31" si="210">(BW30/BV30-1)*100</f>
        <v>-99.99942060558304</v>
      </c>
      <c r="BY30" s="22">
        <v>582029</v>
      </c>
      <c r="BZ30" s="22">
        <v>243</v>
      </c>
      <c r="CA30" s="15">
        <f t="shared" ref="CA30:CA31" si="211">(BZ30/BY30-1)*100</f>
        <v>-99.958249503031638</v>
      </c>
    </row>
    <row r="31" spans="1:79" s="1" customFormat="1" ht="19.5" customHeight="1">
      <c r="A31" s="122"/>
      <c r="B31" s="115"/>
      <c r="C31" s="33" t="s">
        <v>50</v>
      </c>
      <c r="D31" s="17">
        <v>14203</v>
      </c>
      <c r="E31" s="17">
        <v>332878</v>
      </c>
      <c r="F31" s="17">
        <v>68602</v>
      </c>
      <c r="G31" s="17">
        <v>1972967</v>
      </c>
      <c r="H31" s="17">
        <v>580788</v>
      </c>
      <c r="I31" s="17">
        <v>2539790</v>
      </c>
      <c r="J31" s="17">
        <v>681804</v>
      </c>
      <c r="K31" s="17">
        <v>0</v>
      </c>
      <c r="L31" s="17">
        <v>0</v>
      </c>
      <c r="M31" s="18" t="e">
        <f t="shared" si="0"/>
        <v>#DIV/0!</v>
      </c>
      <c r="N31" s="14">
        <f>Q31-K31</f>
        <v>0</v>
      </c>
      <c r="O31" s="14">
        <f>R31-L31</f>
        <v>0</v>
      </c>
      <c r="P31" s="18" t="e">
        <f t="shared" si="1"/>
        <v>#DIV/0!</v>
      </c>
      <c r="Q31" s="17">
        <v>0</v>
      </c>
      <c r="R31" s="17">
        <v>0</v>
      </c>
      <c r="S31" s="18" t="e">
        <f t="shared" si="2"/>
        <v>#DIV/0!</v>
      </c>
      <c r="T31" s="14">
        <f>W31-Q31</f>
        <v>0</v>
      </c>
      <c r="U31" s="14">
        <f>X31-R31</f>
        <v>0</v>
      </c>
      <c r="V31" s="18" t="e">
        <f t="shared" si="192"/>
        <v>#DIV/0!</v>
      </c>
      <c r="W31" s="17">
        <v>0</v>
      </c>
      <c r="X31" s="17">
        <v>0</v>
      </c>
      <c r="Y31" s="18" t="e">
        <f t="shared" si="193"/>
        <v>#DIV/0!</v>
      </c>
      <c r="Z31" s="14">
        <f>AC31-W31</f>
        <v>20002</v>
      </c>
      <c r="AA31" s="14">
        <f>AD31-X31</f>
        <v>0</v>
      </c>
      <c r="AB31" s="18">
        <f t="shared" si="194"/>
        <v>-100</v>
      </c>
      <c r="AC31" s="17">
        <v>20002</v>
      </c>
      <c r="AD31" s="17">
        <v>0</v>
      </c>
      <c r="AE31" s="18">
        <f t="shared" si="195"/>
        <v>-100</v>
      </c>
      <c r="AF31" s="14">
        <f>AI31-AC31</f>
        <v>0</v>
      </c>
      <c r="AG31" s="14">
        <f>AJ31-AD31</f>
        <v>0</v>
      </c>
      <c r="AH31" s="18" t="e">
        <f t="shared" si="196"/>
        <v>#DIV/0!</v>
      </c>
      <c r="AI31" s="17">
        <v>20002</v>
      </c>
      <c r="AJ31" s="17">
        <v>0</v>
      </c>
      <c r="AK31" s="18">
        <f t="shared" si="197"/>
        <v>-100</v>
      </c>
      <c r="AL31" s="14">
        <f>AO31-AI31</f>
        <v>0</v>
      </c>
      <c r="AM31" s="14">
        <f>AP31-AJ31</f>
        <v>0</v>
      </c>
      <c r="AN31" s="18" t="e">
        <f t="shared" si="198"/>
        <v>#DIV/0!</v>
      </c>
      <c r="AO31" s="17">
        <v>20002</v>
      </c>
      <c r="AP31" s="17">
        <v>0</v>
      </c>
      <c r="AQ31" s="18">
        <f t="shared" si="199"/>
        <v>-100</v>
      </c>
      <c r="AR31" s="14">
        <f>AU31-AO31</f>
        <v>0</v>
      </c>
      <c r="AS31" s="14">
        <f>AV31-AP31</f>
        <v>0</v>
      </c>
      <c r="AT31" s="18" t="e">
        <f t="shared" si="200"/>
        <v>#DIV/0!</v>
      </c>
      <c r="AU31" s="17">
        <v>20002</v>
      </c>
      <c r="AV31" s="17">
        <v>0</v>
      </c>
      <c r="AW31" s="18">
        <f t="shared" si="201"/>
        <v>-100</v>
      </c>
      <c r="AX31" s="14">
        <f>BA31-AU31</f>
        <v>0</v>
      </c>
      <c r="AY31" s="14">
        <f>BB31-AV31</f>
        <v>0</v>
      </c>
      <c r="AZ31" s="18" t="e">
        <f t="shared" si="202"/>
        <v>#DIV/0!</v>
      </c>
      <c r="BA31" s="17">
        <v>20002</v>
      </c>
      <c r="BB31" s="17">
        <v>0</v>
      </c>
      <c r="BC31" s="18">
        <f t="shared" si="203"/>
        <v>-100</v>
      </c>
      <c r="BD31" s="14">
        <f>BG31-BA31</f>
        <v>257513</v>
      </c>
      <c r="BE31" s="14">
        <f>BH31-BB31</f>
        <v>1778</v>
      </c>
      <c r="BF31" s="18">
        <f t="shared" si="204"/>
        <v>-99.309549420805936</v>
      </c>
      <c r="BG31" s="17">
        <v>277515</v>
      </c>
      <c r="BH31" s="17">
        <v>1778</v>
      </c>
      <c r="BI31" s="18">
        <f t="shared" si="205"/>
        <v>-99.35931391095977</v>
      </c>
      <c r="BJ31" s="14">
        <f>BM31-BG31</f>
        <v>344</v>
      </c>
      <c r="BK31" s="14">
        <f>BN31-BH31</f>
        <v>90</v>
      </c>
      <c r="BL31" s="18">
        <f t="shared" si="206"/>
        <v>-73.837209302325576</v>
      </c>
      <c r="BM31" s="17">
        <v>277859</v>
      </c>
      <c r="BN31" s="17">
        <v>1868</v>
      </c>
      <c r="BO31" s="18">
        <f t="shared" si="207"/>
        <v>-99.327716575673278</v>
      </c>
      <c r="BP31" s="14">
        <f>BS31-BM31</f>
        <v>0</v>
      </c>
      <c r="BQ31" s="14">
        <f>BT31-BN31</f>
        <v>0</v>
      </c>
      <c r="BR31" s="18" t="e">
        <f t="shared" si="208"/>
        <v>#DIV/0!</v>
      </c>
      <c r="BS31" s="17">
        <v>277859</v>
      </c>
      <c r="BT31" s="17">
        <v>1868</v>
      </c>
      <c r="BU31" s="18">
        <f t="shared" si="209"/>
        <v>-99.327716575673278</v>
      </c>
      <c r="BV31" s="14">
        <f>BY31-BS31</f>
        <v>403945</v>
      </c>
      <c r="BW31" s="14">
        <f>BZ31-BT31</f>
        <v>285</v>
      </c>
      <c r="BX31" s="18">
        <f t="shared" si="210"/>
        <v>-99.929445840399069</v>
      </c>
      <c r="BY31" s="17">
        <v>681804</v>
      </c>
      <c r="BZ31" s="17">
        <v>2153</v>
      </c>
      <c r="CA31" s="18">
        <f t="shared" si="211"/>
        <v>-99.684220098444712</v>
      </c>
    </row>
    <row r="32" spans="1:79" s="1" customFormat="1" ht="19.5" customHeight="1" thickBot="1">
      <c r="A32" s="123"/>
      <c r="B32" s="116"/>
      <c r="C32" s="34" t="s">
        <v>51</v>
      </c>
      <c r="D32" s="19">
        <f t="shared" ref="D32:L32" si="212">D31/D30</f>
        <v>0.66198404116484577</v>
      </c>
      <c r="E32" s="19">
        <f t="shared" si="212"/>
        <v>0.64936600210682371</v>
      </c>
      <c r="F32" s="19">
        <f t="shared" si="212"/>
        <v>2.8983902995479318</v>
      </c>
      <c r="G32" s="19">
        <f t="shared" si="212"/>
        <v>2.2822164590697933</v>
      </c>
      <c r="H32" s="20">
        <f>H31/H30</f>
        <v>0.98777837115246592</v>
      </c>
      <c r="I32" s="20">
        <f>I31/I30</f>
        <v>9.9518432024074475</v>
      </c>
      <c r="J32" s="20">
        <f>J31/J30</f>
        <v>1.1714261660501453</v>
      </c>
      <c r="K32" s="20" t="e">
        <f t="shared" si="212"/>
        <v>#DIV/0!</v>
      </c>
      <c r="L32" s="20" t="e">
        <f t="shared" si="212"/>
        <v>#DIV/0!</v>
      </c>
      <c r="M32" s="21"/>
      <c r="N32" s="20" t="e">
        <f>N31/N30</f>
        <v>#DIV/0!</v>
      </c>
      <c r="O32" s="20" t="e">
        <f>O31/O30</f>
        <v>#DIV/0!</v>
      </c>
      <c r="P32" s="21"/>
      <c r="Q32" s="20" t="e">
        <f>Q31/Q30</f>
        <v>#DIV/0!</v>
      </c>
      <c r="R32" s="20" t="e">
        <f>R31/R30</f>
        <v>#DIV/0!</v>
      </c>
      <c r="S32" s="21"/>
      <c r="T32" s="20" t="e">
        <f>T31/T30</f>
        <v>#DIV/0!</v>
      </c>
      <c r="U32" s="20" t="e">
        <f>U31/U30</f>
        <v>#DIV/0!</v>
      </c>
      <c r="V32" s="21"/>
      <c r="W32" s="20" t="e">
        <f>W31/W30</f>
        <v>#DIV/0!</v>
      </c>
      <c r="X32" s="20" t="e">
        <f>X31/X30</f>
        <v>#DIV/0!</v>
      </c>
      <c r="Y32" s="21"/>
      <c r="Z32" s="20">
        <f>Z31/Z30</f>
        <v>1.051077246452969</v>
      </c>
      <c r="AA32" s="20" t="e">
        <f>AA31/AA30</f>
        <v>#DIV/0!</v>
      </c>
      <c r="AB32" s="21"/>
      <c r="AC32" s="20">
        <f>AC31/AC30</f>
        <v>1.051077246452969</v>
      </c>
      <c r="AD32" s="20" t="e">
        <f>AD31/AD30</f>
        <v>#DIV/0!</v>
      </c>
      <c r="AE32" s="21"/>
      <c r="AF32" s="20" t="e">
        <f>AF31/AF30</f>
        <v>#DIV/0!</v>
      </c>
      <c r="AG32" s="20" t="e">
        <f>AG31/AG30</f>
        <v>#DIV/0!</v>
      </c>
      <c r="AH32" s="21"/>
      <c r="AI32" s="20">
        <f>AI31/AI30</f>
        <v>1.051077246452969</v>
      </c>
      <c r="AJ32" s="20" t="e">
        <f>AJ31/AJ30</f>
        <v>#DIV/0!</v>
      </c>
      <c r="AK32" s="21"/>
      <c r="AL32" s="20" t="e">
        <f>AL31/AL30</f>
        <v>#DIV/0!</v>
      </c>
      <c r="AM32" s="20" t="e">
        <f>AM31/AM30</f>
        <v>#DIV/0!</v>
      </c>
      <c r="AN32" s="21"/>
      <c r="AO32" s="20">
        <f>AO31/AO30</f>
        <v>1.051077246452969</v>
      </c>
      <c r="AP32" s="20" t="e">
        <f>AP31/AP30</f>
        <v>#DIV/0!</v>
      </c>
      <c r="AQ32" s="21"/>
      <c r="AR32" s="20" t="e">
        <f>AR31/AR30</f>
        <v>#DIV/0!</v>
      </c>
      <c r="AS32" s="20" t="e">
        <f>AS31/AS30</f>
        <v>#DIV/0!</v>
      </c>
      <c r="AT32" s="21"/>
      <c r="AU32" s="20">
        <f>AU31/AU30</f>
        <v>1.051077246452969</v>
      </c>
      <c r="AV32" s="20" t="e">
        <f>AV31/AV30</f>
        <v>#DIV/0!</v>
      </c>
      <c r="AW32" s="21"/>
      <c r="AX32" s="20" t="e">
        <f>AX31/AX30</f>
        <v>#DIV/0!</v>
      </c>
      <c r="AY32" s="20" t="e">
        <f>AY31/AY30</f>
        <v>#DIV/0!</v>
      </c>
      <c r="AZ32" s="21"/>
      <c r="BA32" s="20">
        <f>BA31/BA30</f>
        <v>1.051077246452969</v>
      </c>
      <c r="BB32" s="20" t="e">
        <f>BB31/BB30</f>
        <v>#DIV/0!</v>
      </c>
      <c r="BC32" s="21"/>
      <c r="BD32" s="20">
        <f>BD31/BD30</f>
        <v>1.1943407340070775</v>
      </c>
      <c r="BE32" s="20">
        <f>BE31/BE30</f>
        <v>8.4666666666666668</v>
      </c>
      <c r="BF32" s="21"/>
      <c r="BG32" s="20">
        <f>BG31/BG30</f>
        <v>1.1827216897302688</v>
      </c>
      <c r="BH32" s="20">
        <f>BH31/BH30</f>
        <v>8.4666666666666668</v>
      </c>
      <c r="BI32" s="21"/>
      <c r="BJ32" s="20">
        <f>BJ31/BJ30</f>
        <v>0.15636363636363637</v>
      </c>
      <c r="BK32" s="20">
        <f>BK31/BK30</f>
        <v>2.903225806451613</v>
      </c>
      <c r="BL32" s="21"/>
      <c r="BM32" s="20">
        <f>BM31/BM30</f>
        <v>1.1731879193214012</v>
      </c>
      <c r="BN32" s="20">
        <f>BN31/BN30</f>
        <v>7.7510373443983402</v>
      </c>
      <c r="BO32" s="21"/>
      <c r="BP32" s="20" t="e">
        <f>BP31/BP30</f>
        <v>#DIV/0!</v>
      </c>
      <c r="BQ32" s="20" t="e">
        <f>BQ31/BQ30</f>
        <v>#DIV/0!</v>
      </c>
      <c r="BR32" s="21"/>
      <c r="BS32" s="20">
        <f>BS31/BS30</f>
        <v>1.1731879193214012</v>
      </c>
      <c r="BT32" s="20">
        <f>BT31/BT30</f>
        <v>7.7510373443983402</v>
      </c>
      <c r="BU32" s="21"/>
      <c r="BV32" s="20">
        <f>BV31/BV30</f>
        <v>1.1702173887852416</v>
      </c>
      <c r="BW32" s="20">
        <f>BW31/BW30</f>
        <v>142.5</v>
      </c>
      <c r="BX32" s="21"/>
      <c r="BY32" s="20">
        <f>BY31/BY30</f>
        <v>1.1714261660501453</v>
      </c>
      <c r="BZ32" s="20">
        <f>BZ31/BZ30</f>
        <v>8.8600823045267489</v>
      </c>
      <c r="CA32" s="21"/>
    </row>
    <row r="33" spans="1:79" s="1" customFormat="1" ht="19.5" customHeight="1">
      <c r="A33" s="117" t="s">
        <v>20</v>
      </c>
      <c r="B33" s="114">
        <v>2612</v>
      </c>
      <c r="C33" s="32" t="s">
        <v>42</v>
      </c>
      <c r="D33" s="22">
        <v>0</v>
      </c>
      <c r="E33" s="22">
        <v>0</v>
      </c>
      <c r="F33" s="22">
        <v>0</v>
      </c>
      <c r="G33" s="22">
        <v>2000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15" t="e">
        <f t="shared" si="0"/>
        <v>#DIV/0!</v>
      </c>
      <c r="N33" s="23">
        <f>Q33-K33</f>
        <v>0</v>
      </c>
      <c r="O33" s="22">
        <f>R33-L33</f>
        <v>0</v>
      </c>
      <c r="P33" s="15" t="e">
        <f t="shared" si="1"/>
        <v>#DIV/0!</v>
      </c>
      <c r="Q33" s="22">
        <v>0</v>
      </c>
      <c r="R33" s="22">
        <v>0</v>
      </c>
      <c r="S33" s="15" t="e">
        <f t="shared" si="2"/>
        <v>#DIV/0!</v>
      </c>
      <c r="T33" s="23">
        <f>W33-Q33</f>
        <v>0</v>
      </c>
      <c r="U33" s="22">
        <f>X33-R33</f>
        <v>0</v>
      </c>
      <c r="V33" s="15" t="e">
        <f t="shared" ref="V33:V34" si="213">(U33/T33-1)*100</f>
        <v>#DIV/0!</v>
      </c>
      <c r="W33" s="22">
        <v>0</v>
      </c>
      <c r="X33" s="22">
        <v>0</v>
      </c>
      <c r="Y33" s="15" t="e">
        <f t="shared" ref="Y33:Y34" si="214">(X33/W33-1)*100</f>
        <v>#DIV/0!</v>
      </c>
      <c r="Z33" s="23">
        <f>AC33-W33</f>
        <v>0</v>
      </c>
      <c r="AA33" s="22">
        <f>AD33-X33</f>
        <v>0</v>
      </c>
      <c r="AB33" s="15" t="e">
        <f t="shared" ref="AB33:AB34" si="215">(AA33/Z33-1)*100</f>
        <v>#DIV/0!</v>
      </c>
      <c r="AC33" s="22">
        <v>0</v>
      </c>
      <c r="AD33" s="22">
        <v>0</v>
      </c>
      <c r="AE33" s="15" t="e">
        <f t="shared" ref="AE33:AE34" si="216">(AD33/AC33-1)*100</f>
        <v>#DIV/0!</v>
      </c>
      <c r="AF33" s="23">
        <f>AI33-AC33</f>
        <v>0</v>
      </c>
      <c r="AG33" s="22">
        <f>AJ33-AD33</f>
        <v>0</v>
      </c>
      <c r="AH33" s="15" t="e">
        <f t="shared" ref="AH33:AH34" si="217">(AG33/AF33-1)*100</f>
        <v>#DIV/0!</v>
      </c>
      <c r="AI33" s="22">
        <v>0</v>
      </c>
      <c r="AJ33" s="22">
        <v>0</v>
      </c>
      <c r="AK33" s="15" t="e">
        <f t="shared" ref="AK33:AK34" si="218">(AJ33/AI33-1)*100</f>
        <v>#DIV/0!</v>
      </c>
      <c r="AL33" s="23">
        <f>AO33-AI33</f>
        <v>0</v>
      </c>
      <c r="AM33" s="22">
        <f>AP33-AJ33</f>
        <v>0</v>
      </c>
      <c r="AN33" s="15" t="e">
        <f t="shared" ref="AN33:AN34" si="219">(AM33/AL33-1)*100</f>
        <v>#DIV/0!</v>
      </c>
      <c r="AO33" s="22">
        <v>0</v>
      </c>
      <c r="AP33" s="22">
        <v>0</v>
      </c>
      <c r="AQ33" s="15" t="e">
        <f t="shared" ref="AQ33:AQ34" si="220">(AP33/AO33-1)*100</f>
        <v>#DIV/0!</v>
      </c>
      <c r="AR33" s="23">
        <f>AU33-AO33</f>
        <v>0</v>
      </c>
      <c r="AS33" s="22">
        <f>AV33-AP33</f>
        <v>0</v>
      </c>
      <c r="AT33" s="15" t="e">
        <f t="shared" ref="AT33:AT34" si="221">(AS33/AR33-1)*100</f>
        <v>#DIV/0!</v>
      </c>
      <c r="AU33" s="22">
        <v>0</v>
      </c>
      <c r="AV33" s="22">
        <v>0</v>
      </c>
      <c r="AW33" s="15" t="e">
        <f t="shared" ref="AW33:AW34" si="222">(AV33/AU33-1)*100</f>
        <v>#DIV/0!</v>
      </c>
      <c r="AX33" s="23">
        <f>BA33-AU33</f>
        <v>0</v>
      </c>
      <c r="AY33" s="22">
        <f>BB33-AV33</f>
        <v>0</v>
      </c>
      <c r="AZ33" s="15" t="e">
        <f t="shared" ref="AZ33:AZ34" si="223">(AY33/AX33-1)*100</f>
        <v>#DIV/0!</v>
      </c>
      <c r="BA33" s="22">
        <v>0</v>
      </c>
      <c r="BB33" s="22">
        <v>0</v>
      </c>
      <c r="BC33" s="15" t="e">
        <f t="shared" ref="BC33:BC34" si="224">(BB33/BA33-1)*100</f>
        <v>#DIV/0!</v>
      </c>
      <c r="BD33" s="23">
        <f>BG33-BA33</f>
        <v>0</v>
      </c>
      <c r="BE33" s="22">
        <f>BH33-BB33</f>
        <v>0</v>
      </c>
      <c r="BF33" s="15" t="e">
        <f t="shared" ref="BF33:BF34" si="225">(BE33/BD33-1)*100</f>
        <v>#DIV/0!</v>
      </c>
      <c r="BG33" s="22">
        <v>0</v>
      </c>
      <c r="BH33" s="22">
        <v>0</v>
      </c>
      <c r="BI33" s="15" t="e">
        <f t="shared" ref="BI33:BI34" si="226">(BH33/BG33-1)*100</f>
        <v>#DIV/0!</v>
      </c>
      <c r="BJ33" s="23">
        <f>BM33-BG33</f>
        <v>0</v>
      </c>
      <c r="BK33" s="22">
        <f>BN33-BH33</f>
        <v>0</v>
      </c>
      <c r="BL33" s="15" t="e">
        <f t="shared" ref="BL33:BL34" si="227">(BK33/BJ33-1)*100</f>
        <v>#DIV/0!</v>
      </c>
      <c r="BM33" s="22">
        <v>0</v>
      </c>
      <c r="BN33" s="22">
        <v>0</v>
      </c>
      <c r="BO33" s="15" t="e">
        <f t="shared" ref="BO33:BO34" si="228">(BN33/BM33-1)*100</f>
        <v>#DIV/0!</v>
      </c>
      <c r="BP33" s="23">
        <f>BS33-BM33</f>
        <v>0</v>
      </c>
      <c r="BQ33" s="22">
        <f>BT33-BN33</f>
        <v>0</v>
      </c>
      <c r="BR33" s="15" t="e">
        <f t="shared" ref="BR33:BR34" si="229">(BQ33/BP33-1)*100</f>
        <v>#DIV/0!</v>
      </c>
      <c r="BS33" s="22">
        <v>0</v>
      </c>
      <c r="BT33" s="22">
        <v>0</v>
      </c>
      <c r="BU33" s="15" t="e">
        <f t="shared" ref="BU33:BU34" si="230">(BT33/BS33-1)*100</f>
        <v>#DIV/0!</v>
      </c>
      <c r="BV33" s="23">
        <f>BY33-BS33</f>
        <v>0</v>
      </c>
      <c r="BW33" s="22">
        <f>BZ33-BT33</f>
        <v>0</v>
      </c>
      <c r="BX33" s="15" t="e">
        <f t="shared" ref="BX33:BX34" si="231">(BW33/BV33-1)*100</f>
        <v>#DIV/0!</v>
      </c>
      <c r="BY33" s="22">
        <v>0</v>
      </c>
      <c r="BZ33" s="22">
        <v>0</v>
      </c>
      <c r="CA33" s="15" t="e">
        <f t="shared" ref="CA33:CA34" si="232">(BZ33/BY33-1)*100</f>
        <v>#DIV/0!</v>
      </c>
    </row>
    <row r="34" spans="1:79" s="1" customFormat="1" ht="19.5" customHeight="1">
      <c r="A34" s="122"/>
      <c r="B34" s="115"/>
      <c r="C34" s="33" t="s">
        <v>50</v>
      </c>
      <c r="D34" s="17">
        <v>0</v>
      </c>
      <c r="E34" s="17">
        <v>0</v>
      </c>
      <c r="F34" s="17">
        <v>0</v>
      </c>
      <c r="G34" s="17">
        <v>2484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8" t="e">
        <f t="shared" si="0"/>
        <v>#DIV/0!</v>
      </c>
      <c r="N34" s="14">
        <f>Q34-K34</f>
        <v>0</v>
      </c>
      <c r="O34" s="14">
        <f>R34-L34</f>
        <v>0</v>
      </c>
      <c r="P34" s="18" t="e">
        <f t="shared" si="1"/>
        <v>#DIV/0!</v>
      </c>
      <c r="Q34" s="17">
        <v>0</v>
      </c>
      <c r="R34" s="17">
        <v>0</v>
      </c>
      <c r="S34" s="18" t="e">
        <f t="shared" si="2"/>
        <v>#DIV/0!</v>
      </c>
      <c r="T34" s="14">
        <f>W34-Q34</f>
        <v>0</v>
      </c>
      <c r="U34" s="14">
        <f>X34-R34</f>
        <v>0</v>
      </c>
      <c r="V34" s="18" t="e">
        <f t="shared" si="213"/>
        <v>#DIV/0!</v>
      </c>
      <c r="W34" s="17">
        <v>0</v>
      </c>
      <c r="X34" s="17">
        <v>0</v>
      </c>
      <c r="Y34" s="18" t="e">
        <f t="shared" si="214"/>
        <v>#DIV/0!</v>
      </c>
      <c r="Z34" s="14">
        <f>AC34-W34</f>
        <v>0</v>
      </c>
      <c r="AA34" s="14">
        <f>AD34-X34</f>
        <v>0</v>
      </c>
      <c r="AB34" s="18" t="e">
        <f t="shared" si="215"/>
        <v>#DIV/0!</v>
      </c>
      <c r="AC34" s="17">
        <v>0</v>
      </c>
      <c r="AD34" s="17">
        <v>0</v>
      </c>
      <c r="AE34" s="18" t="e">
        <f t="shared" si="216"/>
        <v>#DIV/0!</v>
      </c>
      <c r="AF34" s="14">
        <f>AI34-AC34</f>
        <v>0</v>
      </c>
      <c r="AG34" s="14">
        <f>AJ34-AD34</f>
        <v>0</v>
      </c>
      <c r="AH34" s="18" t="e">
        <f t="shared" si="217"/>
        <v>#DIV/0!</v>
      </c>
      <c r="AI34" s="17">
        <v>0</v>
      </c>
      <c r="AJ34" s="17">
        <v>0</v>
      </c>
      <c r="AK34" s="18" t="e">
        <f t="shared" si="218"/>
        <v>#DIV/0!</v>
      </c>
      <c r="AL34" s="14">
        <f>AO34-AI34</f>
        <v>0</v>
      </c>
      <c r="AM34" s="14">
        <f>AP34-AJ34</f>
        <v>0</v>
      </c>
      <c r="AN34" s="18" t="e">
        <f t="shared" si="219"/>
        <v>#DIV/0!</v>
      </c>
      <c r="AO34" s="17">
        <v>0</v>
      </c>
      <c r="AP34" s="17">
        <v>0</v>
      </c>
      <c r="AQ34" s="18" t="e">
        <f t="shared" si="220"/>
        <v>#DIV/0!</v>
      </c>
      <c r="AR34" s="14">
        <f>AU34-AO34</f>
        <v>0</v>
      </c>
      <c r="AS34" s="14">
        <f>AV34-AP34</f>
        <v>0</v>
      </c>
      <c r="AT34" s="18" t="e">
        <f t="shared" si="221"/>
        <v>#DIV/0!</v>
      </c>
      <c r="AU34" s="17">
        <v>0</v>
      </c>
      <c r="AV34" s="17">
        <v>0</v>
      </c>
      <c r="AW34" s="18" t="e">
        <f t="shared" si="222"/>
        <v>#DIV/0!</v>
      </c>
      <c r="AX34" s="14">
        <f>BA34-AU34</f>
        <v>0</v>
      </c>
      <c r="AY34" s="14">
        <f>BB34-AV34</f>
        <v>0</v>
      </c>
      <c r="AZ34" s="18" t="e">
        <f t="shared" si="223"/>
        <v>#DIV/0!</v>
      </c>
      <c r="BA34" s="17">
        <v>0</v>
      </c>
      <c r="BB34" s="17">
        <v>0</v>
      </c>
      <c r="BC34" s="18" t="e">
        <f t="shared" si="224"/>
        <v>#DIV/0!</v>
      </c>
      <c r="BD34" s="14">
        <f>BG34-BA34</f>
        <v>0</v>
      </c>
      <c r="BE34" s="14">
        <f>BH34-BB34</f>
        <v>0</v>
      </c>
      <c r="BF34" s="18" t="e">
        <f t="shared" si="225"/>
        <v>#DIV/0!</v>
      </c>
      <c r="BG34" s="17">
        <v>0</v>
      </c>
      <c r="BH34" s="17">
        <v>0</v>
      </c>
      <c r="BI34" s="18" t="e">
        <f t="shared" si="226"/>
        <v>#DIV/0!</v>
      </c>
      <c r="BJ34" s="14">
        <f>BM34-BG34</f>
        <v>0</v>
      </c>
      <c r="BK34" s="14">
        <f>BN34-BH34</f>
        <v>0</v>
      </c>
      <c r="BL34" s="18" t="e">
        <f t="shared" si="227"/>
        <v>#DIV/0!</v>
      </c>
      <c r="BM34" s="17">
        <v>0</v>
      </c>
      <c r="BN34" s="17">
        <v>0</v>
      </c>
      <c r="BO34" s="18" t="e">
        <f t="shared" si="228"/>
        <v>#DIV/0!</v>
      </c>
      <c r="BP34" s="14">
        <f>BS34-BM34</f>
        <v>0</v>
      </c>
      <c r="BQ34" s="14">
        <f>BT34-BN34</f>
        <v>0</v>
      </c>
      <c r="BR34" s="18" t="e">
        <f t="shared" si="229"/>
        <v>#DIV/0!</v>
      </c>
      <c r="BS34" s="17">
        <v>0</v>
      </c>
      <c r="BT34" s="17">
        <v>0</v>
      </c>
      <c r="BU34" s="18" t="e">
        <f t="shared" si="230"/>
        <v>#DIV/0!</v>
      </c>
      <c r="BV34" s="14">
        <f>BY34-BS34</f>
        <v>0</v>
      </c>
      <c r="BW34" s="14">
        <f>BZ34-BT34</f>
        <v>0</v>
      </c>
      <c r="BX34" s="18" t="e">
        <f t="shared" si="231"/>
        <v>#DIV/0!</v>
      </c>
      <c r="BY34" s="17">
        <v>0</v>
      </c>
      <c r="BZ34" s="17">
        <v>0</v>
      </c>
      <c r="CA34" s="18" t="e">
        <f t="shared" si="232"/>
        <v>#DIV/0!</v>
      </c>
    </row>
    <row r="35" spans="1:79" s="1" customFormat="1" ht="19.5" customHeight="1" thickBot="1">
      <c r="A35" s="123"/>
      <c r="B35" s="116"/>
      <c r="C35" s="34" t="s">
        <v>51</v>
      </c>
      <c r="D35" s="19" t="e">
        <f t="shared" ref="D35:L35" si="233">D34/D33</f>
        <v>#DIV/0!</v>
      </c>
      <c r="E35" s="19" t="e">
        <f t="shared" si="233"/>
        <v>#DIV/0!</v>
      </c>
      <c r="F35" s="19" t="e">
        <f t="shared" si="233"/>
        <v>#DIV/0!</v>
      </c>
      <c r="G35" s="19">
        <f t="shared" si="233"/>
        <v>1.242</v>
      </c>
      <c r="H35" s="20" t="e">
        <f>H34/H33</f>
        <v>#DIV/0!</v>
      </c>
      <c r="I35" s="20" t="e">
        <f>I34/I33</f>
        <v>#DIV/0!</v>
      </c>
      <c r="J35" s="20" t="e">
        <f>J34/J33</f>
        <v>#DIV/0!</v>
      </c>
      <c r="K35" s="20" t="e">
        <f t="shared" si="233"/>
        <v>#DIV/0!</v>
      </c>
      <c r="L35" s="20" t="e">
        <f t="shared" si="233"/>
        <v>#DIV/0!</v>
      </c>
      <c r="M35" s="21"/>
      <c r="N35" s="20" t="e">
        <f>N34/N33</f>
        <v>#DIV/0!</v>
      </c>
      <c r="O35" s="20" t="e">
        <f>O34/O33</f>
        <v>#DIV/0!</v>
      </c>
      <c r="P35" s="21"/>
      <c r="Q35" s="20" t="e">
        <f>Q34/Q33</f>
        <v>#DIV/0!</v>
      </c>
      <c r="R35" s="20" t="e">
        <f>R34/R33</f>
        <v>#DIV/0!</v>
      </c>
      <c r="S35" s="21"/>
      <c r="T35" s="20" t="e">
        <f>T34/T33</f>
        <v>#DIV/0!</v>
      </c>
      <c r="U35" s="20" t="e">
        <f>U34/U33</f>
        <v>#DIV/0!</v>
      </c>
      <c r="V35" s="21"/>
      <c r="W35" s="20" t="e">
        <f>W34/W33</f>
        <v>#DIV/0!</v>
      </c>
      <c r="X35" s="20" t="e">
        <f>X34/X33</f>
        <v>#DIV/0!</v>
      </c>
      <c r="Y35" s="21"/>
      <c r="Z35" s="20" t="e">
        <f>Z34/Z33</f>
        <v>#DIV/0!</v>
      </c>
      <c r="AA35" s="20" t="e">
        <f>AA34/AA33</f>
        <v>#DIV/0!</v>
      </c>
      <c r="AB35" s="21"/>
      <c r="AC35" s="20" t="e">
        <f>AC34/AC33</f>
        <v>#DIV/0!</v>
      </c>
      <c r="AD35" s="20" t="e">
        <f>AD34/AD33</f>
        <v>#DIV/0!</v>
      </c>
      <c r="AE35" s="21"/>
      <c r="AF35" s="20" t="e">
        <f>AF34/AF33</f>
        <v>#DIV/0!</v>
      </c>
      <c r="AG35" s="20" t="e">
        <f>AG34/AG33</f>
        <v>#DIV/0!</v>
      </c>
      <c r="AH35" s="21"/>
      <c r="AI35" s="20" t="e">
        <f>AI34/AI33</f>
        <v>#DIV/0!</v>
      </c>
      <c r="AJ35" s="20" t="e">
        <f>AJ34/AJ33</f>
        <v>#DIV/0!</v>
      </c>
      <c r="AK35" s="21"/>
      <c r="AL35" s="20" t="e">
        <f>AL34/AL33</f>
        <v>#DIV/0!</v>
      </c>
      <c r="AM35" s="20" t="e">
        <f>AM34/AM33</f>
        <v>#DIV/0!</v>
      </c>
      <c r="AN35" s="21"/>
      <c r="AO35" s="20" t="e">
        <f>AO34/AO33</f>
        <v>#DIV/0!</v>
      </c>
      <c r="AP35" s="20" t="e">
        <f>AP34/AP33</f>
        <v>#DIV/0!</v>
      </c>
      <c r="AQ35" s="21"/>
      <c r="AR35" s="20" t="e">
        <f>AR34/AR33</f>
        <v>#DIV/0!</v>
      </c>
      <c r="AS35" s="20" t="e">
        <f>AS34/AS33</f>
        <v>#DIV/0!</v>
      </c>
      <c r="AT35" s="21"/>
      <c r="AU35" s="20" t="e">
        <f>AU34/AU33</f>
        <v>#DIV/0!</v>
      </c>
      <c r="AV35" s="20" t="e">
        <f>AV34/AV33</f>
        <v>#DIV/0!</v>
      </c>
      <c r="AW35" s="21"/>
      <c r="AX35" s="20" t="e">
        <f>AX34/AX33</f>
        <v>#DIV/0!</v>
      </c>
      <c r="AY35" s="20" t="e">
        <f>AY34/AY33</f>
        <v>#DIV/0!</v>
      </c>
      <c r="AZ35" s="21"/>
      <c r="BA35" s="20" t="e">
        <f>BA34/BA33</f>
        <v>#DIV/0!</v>
      </c>
      <c r="BB35" s="20" t="e">
        <f>BB34/BB33</f>
        <v>#DIV/0!</v>
      </c>
      <c r="BC35" s="21"/>
      <c r="BD35" s="20" t="e">
        <f>BD34/BD33</f>
        <v>#DIV/0!</v>
      </c>
      <c r="BE35" s="20" t="e">
        <f>BE34/BE33</f>
        <v>#DIV/0!</v>
      </c>
      <c r="BF35" s="21"/>
      <c r="BG35" s="20" t="e">
        <f>BG34/BG33</f>
        <v>#DIV/0!</v>
      </c>
      <c r="BH35" s="20" t="e">
        <f>BH34/BH33</f>
        <v>#DIV/0!</v>
      </c>
      <c r="BI35" s="21"/>
      <c r="BJ35" s="20" t="e">
        <f>BJ34/BJ33</f>
        <v>#DIV/0!</v>
      </c>
      <c r="BK35" s="20" t="e">
        <f>BK34/BK33</f>
        <v>#DIV/0!</v>
      </c>
      <c r="BL35" s="21"/>
      <c r="BM35" s="20" t="e">
        <f>BM34/BM33</f>
        <v>#DIV/0!</v>
      </c>
      <c r="BN35" s="20" t="e">
        <f>BN34/BN33</f>
        <v>#DIV/0!</v>
      </c>
      <c r="BO35" s="21"/>
      <c r="BP35" s="20" t="e">
        <f>BP34/BP33</f>
        <v>#DIV/0!</v>
      </c>
      <c r="BQ35" s="20" t="e">
        <f>BQ34/BQ33</f>
        <v>#DIV/0!</v>
      </c>
      <c r="BR35" s="21"/>
      <c r="BS35" s="20" t="e">
        <f>BS34/BS33</f>
        <v>#DIV/0!</v>
      </c>
      <c r="BT35" s="20" t="e">
        <f>BT34/BT33</f>
        <v>#DIV/0!</v>
      </c>
      <c r="BU35" s="21"/>
      <c r="BV35" s="20" t="e">
        <f>BV34/BV33</f>
        <v>#DIV/0!</v>
      </c>
      <c r="BW35" s="20" t="e">
        <f>BW34/BW33</f>
        <v>#DIV/0!</v>
      </c>
      <c r="BX35" s="21"/>
      <c r="BY35" s="20" t="e">
        <f>BY34/BY33</f>
        <v>#DIV/0!</v>
      </c>
      <c r="BZ35" s="20" t="e">
        <f>BZ34/BZ33</f>
        <v>#DIV/0!</v>
      </c>
      <c r="CA35" s="21"/>
    </row>
    <row r="36" spans="1:79" s="1" customFormat="1" ht="19.5" customHeight="1">
      <c r="A36" s="117" t="s">
        <v>21</v>
      </c>
      <c r="B36" s="133">
        <v>2613</v>
      </c>
      <c r="C36" s="32" t="s">
        <v>42</v>
      </c>
      <c r="D36" s="22">
        <v>3257396.7</v>
      </c>
      <c r="E36" s="22">
        <v>6928503</v>
      </c>
      <c r="F36" s="22">
        <v>3162093</v>
      </c>
      <c r="G36" s="22">
        <v>6578334</v>
      </c>
      <c r="H36" s="22">
        <v>5030221</v>
      </c>
      <c r="I36" s="22">
        <v>4875417</v>
      </c>
      <c r="J36" s="22">
        <v>4758358</v>
      </c>
      <c r="K36" s="22">
        <v>239000</v>
      </c>
      <c r="L36" s="22">
        <v>655882</v>
      </c>
      <c r="M36" s="15">
        <f t="shared" si="0"/>
        <v>174.4276150627615</v>
      </c>
      <c r="N36" s="23">
        <f>Q36-K36</f>
        <v>614085</v>
      </c>
      <c r="O36" s="22">
        <f>R36-L36</f>
        <v>732790</v>
      </c>
      <c r="P36" s="15">
        <f t="shared" si="1"/>
        <v>19.330385858635204</v>
      </c>
      <c r="Q36" s="22">
        <v>853085</v>
      </c>
      <c r="R36" s="22">
        <v>1388672</v>
      </c>
      <c r="S36" s="15">
        <f t="shared" si="2"/>
        <v>62.782372213788776</v>
      </c>
      <c r="T36" s="23">
        <f>W36-Q36</f>
        <v>243000</v>
      </c>
      <c r="U36" s="22">
        <f>X36-R36</f>
        <v>854219</v>
      </c>
      <c r="V36" s="15">
        <f t="shared" ref="V36:V37" si="234">(U36/T36-1)*100</f>
        <v>251.53045267489711</v>
      </c>
      <c r="W36" s="22">
        <v>1096085</v>
      </c>
      <c r="X36" s="22">
        <v>2242891</v>
      </c>
      <c r="Y36" s="15">
        <f t="shared" ref="Y36:Y37" si="235">(X36/W36-1)*100</f>
        <v>104.62746958493182</v>
      </c>
      <c r="Z36" s="23">
        <f>AC36-W36</f>
        <v>376328</v>
      </c>
      <c r="AA36" s="22">
        <f>AD36-X36</f>
        <v>710963</v>
      </c>
      <c r="AB36" s="15">
        <f t="shared" ref="AB36:AB37" si="236">(AA36/Z36-1)*100</f>
        <v>88.921100741906002</v>
      </c>
      <c r="AC36" s="22">
        <v>1472413</v>
      </c>
      <c r="AD36" s="22">
        <v>2953854</v>
      </c>
      <c r="AE36" s="15">
        <f t="shared" ref="AE36:AE37" si="237">(AD36/AC36-1)*100</f>
        <v>100.61314318740733</v>
      </c>
      <c r="AF36" s="23">
        <f>AI36-AC36</f>
        <v>222000</v>
      </c>
      <c r="AG36" s="22">
        <f>AJ36-AD36</f>
        <v>328573</v>
      </c>
      <c r="AH36" s="15">
        <f t="shared" ref="AH36:AH37" si="238">(AG36/AF36-1)*100</f>
        <v>48.005855855855863</v>
      </c>
      <c r="AI36" s="22">
        <v>1694413</v>
      </c>
      <c r="AJ36" s="22">
        <v>3282427</v>
      </c>
      <c r="AK36" s="15">
        <f t="shared" ref="AK36:AK37" si="239">(AJ36/AI36-1)*100</f>
        <v>93.720598224871978</v>
      </c>
      <c r="AL36" s="23">
        <f>AO36-AI36</f>
        <v>373710</v>
      </c>
      <c r="AM36" s="22">
        <f>AP36-AJ36</f>
        <v>762001</v>
      </c>
      <c r="AN36" s="15">
        <f t="shared" ref="AN36:AN37" si="240">(AM36/AL36-1)*100</f>
        <v>103.90168847502075</v>
      </c>
      <c r="AO36" s="22">
        <v>2068123</v>
      </c>
      <c r="AP36" s="22">
        <v>4044428</v>
      </c>
      <c r="AQ36" s="15">
        <f t="shared" ref="AQ36:AQ37" si="241">(AP36/AO36-1)*100</f>
        <v>95.560322089160081</v>
      </c>
      <c r="AR36" s="23">
        <f>AU36-AO36</f>
        <v>276320</v>
      </c>
      <c r="AS36" s="22">
        <f>AV36-AP36</f>
        <v>921821</v>
      </c>
      <c r="AT36" s="15">
        <f t="shared" ref="AT36:AT37" si="242">(AS36/AR36-1)*100</f>
        <v>233.6063259988419</v>
      </c>
      <c r="AU36" s="22">
        <v>2344443</v>
      </c>
      <c r="AV36" s="22">
        <v>4966249</v>
      </c>
      <c r="AW36" s="15">
        <f t="shared" ref="AW36:AW37" si="243">(AV36/AU36-1)*100</f>
        <v>111.83065657812965</v>
      </c>
      <c r="AX36" s="23">
        <f>BA36-AU36</f>
        <v>561530</v>
      </c>
      <c r="AY36" s="22">
        <f>BB36-AV36</f>
        <v>371514</v>
      </c>
      <c r="AZ36" s="15">
        <f t="shared" ref="AZ36:AZ37" si="244">(AY36/AX36-1)*100</f>
        <v>-33.838975655797555</v>
      </c>
      <c r="BA36" s="22">
        <v>2905973</v>
      </c>
      <c r="BB36" s="22">
        <v>5337763</v>
      </c>
      <c r="BC36" s="15">
        <f t="shared" ref="BC36:BC37" si="245">(BB36/BA36-1)*100</f>
        <v>83.682470552892269</v>
      </c>
      <c r="BD36" s="23">
        <f>BG36-BA36</f>
        <v>353824</v>
      </c>
      <c r="BE36" s="22">
        <f>BH36-BB36</f>
        <v>606049</v>
      </c>
      <c r="BF36" s="15">
        <f t="shared" ref="BF36:BF37" si="246">(BE36/BD36-1)*100</f>
        <v>71.285441349371453</v>
      </c>
      <c r="BG36" s="22">
        <v>3259797</v>
      </c>
      <c r="BH36" s="22">
        <v>5943812</v>
      </c>
      <c r="BI36" s="15">
        <f t="shared" ref="BI36:BI37" si="247">(BH36/BG36-1)*100</f>
        <v>82.336875578448598</v>
      </c>
      <c r="BJ36" s="23">
        <f>BM36-BG36</f>
        <v>327742</v>
      </c>
      <c r="BK36" s="22">
        <f>BN36-BH36</f>
        <v>620715</v>
      </c>
      <c r="BL36" s="15">
        <f t="shared" ref="BL36:BL37" si="248">(BK36/BJ36-1)*100</f>
        <v>89.391350513513686</v>
      </c>
      <c r="BM36" s="22">
        <v>3587539</v>
      </c>
      <c r="BN36" s="22">
        <v>6564527</v>
      </c>
      <c r="BO36" s="15">
        <f t="shared" ref="BO36:BO37" si="249">(BN36/BM36-1)*100</f>
        <v>82.981341805622179</v>
      </c>
      <c r="BP36" s="23">
        <f>BS36-BM36</f>
        <v>472800</v>
      </c>
      <c r="BQ36" s="22">
        <f>BT36-BN36</f>
        <v>1093074</v>
      </c>
      <c r="BR36" s="15">
        <f t="shared" ref="BR36:BR37" si="250">(BQ36/BP36-1)*100</f>
        <v>131.19162436548223</v>
      </c>
      <c r="BS36" s="22">
        <v>4060339</v>
      </c>
      <c r="BT36" s="22">
        <v>7657601</v>
      </c>
      <c r="BU36" s="15">
        <f t="shared" ref="BU36:BU37" si="251">(BT36/BS36-1)*100</f>
        <v>88.595114841396239</v>
      </c>
      <c r="BV36" s="23">
        <f>BY36-BS36</f>
        <v>698019</v>
      </c>
      <c r="BW36" s="22">
        <f>BZ36-BT36</f>
        <v>1143723</v>
      </c>
      <c r="BX36" s="15">
        <f t="shared" ref="BX36:BX37" si="252">(BW36/BV36-1)*100</f>
        <v>63.852703149914248</v>
      </c>
      <c r="BY36" s="22">
        <v>4758358</v>
      </c>
      <c r="BZ36" s="22">
        <v>8801324</v>
      </c>
      <c r="CA36" s="15">
        <f t="shared" ref="CA36:CA37" si="253">(BZ36/BY36-1)*100</f>
        <v>84.965570055889032</v>
      </c>
    </row>
    <row r="37" spans="1:79" s="1" customFormat="1" ht="19.5" customHeight="1">
      <c r="A37" s="122"/>
      <c r="B37" s="134"/>
      <c r="C37" s="33" t="s">
        <v>50</v>
      </c>
      <c r="D37" s="17">
        <v>28031721</v>
      </c>
      <c r="E37" s="17">
        <v>94823415</v>
      </c>
      <c r="F37" s="17">
        <v>59166568</v>
      </c>
      <c r="G37" s="17">
        <v>70682579</v>
      </c>
      <c r="H37" s="17">
        <v>49323702</v>
      </c>
      <c r="I37" s="17">
        <v>56502243</v>
      </c>
      <c r="J37" s="17">
        <v>26465703</v>
      </c>
      <c r="K37" s="17">
        <v>2640747</v>
      </c>
      <c r="L37" s="17">
        <v>1108995</v>
      </c>
      <c r="M37" s="18">
        <f t="shared" si="0"/>
        <v>-58.004496454980355</v>
      </c>
      <c r="N37" s="14">
        <f>Q37-K37</f>
        <v>3615916</v>
      </c>
      <c r="O37" s="14">
        <f>R37-L37</f>
        <v>984684</v>
      </c>
      <c r="P37" s="18">
        <f t="shared" si="1"/>
        <v>-72.768062089937928</v>
      </c>
      <c r="Q37" s="17">
        <v>6256663</v>
      </c>
      <c r="R37" s="17">
        <v>2093679</v>
      </c>
      <c r="S37" s="18">
        <f t="shared" si="2"/>
        <v>-66.536810437129176</v>
      </c>
      <c r="T37" s="14">
        <f>W37-Q37</f>
        <v>2574096</v>
      </c>
      <c r="U37" s="14">
        <f>X37-R37</f>
        <v>1285089</v>
      </c>
      <c r="V37" s="18">
        <f t="shared" si="234"/>
        <v>-50.076104387715148</v>
      </c>
      <c r="W37" s="17">
        <v>8830759</v>
      </c>
      <c r="X37" s="17">
        <v>3378768</v>
      </c>
      <c r="Y37" s="18">
        <f t="shared" si="235"/>
        <v>-61.738645568291474</v>
      </c>
      <c r="Z37" s="14">
        <f>AC37-W37</f>
        <v>3315193</v>
      </c>
      <c r="AA37" s="14">
        <f>AD37-X37</f>
        <v>616039</v>
      </c>
      <c r="AB37" s="18">
        <f t="shared" si="236"/>
        <v>-81.417703283036616</v>
      </c>
      <c r="AC37" s="17">
        <v>12145952</v>
      </c>
      <c r="AD37" s="17">
        <v>3994807</v>
      </c>
      <c r="AE37" s="18">
        <f t="shared" si="237"/>
        <v>-67.109972112519458</v>
      </c>
      <c r="AF37" s="14">
        <f>AI37-AC37</f>
        <v>2257310</v>
      </c>
      <c r="AG37" s="14">
        <f>AJ37-AD37</f>
        <v>746158</v>
      </c>
      <c r="AH37" s="18">
        <f t="shared" si="238"/>
        <v>-66.944814845989256</v>
      </c>
      <c r="AI37" s="17">
        <v>14403262</v>
      </c>
      <c r="AJ37" s="17">
        <v>4740965</v>
      </c>
      <c r="AK37" s="18">
        <f t="shared" si="239"/>
        <v>-67.084088312772479</v>
      </c>
      <c r="AL37" s="14">
        <f>AO37-AI37</f>
        <v>2681946</v>
      </c>
      <c r="AM37" s="14">
        <f>AP37-AJ37</f>
        <v>1729005</v>
      </c>
      <c r="AN37" s="18">
        <f t="shared" si="240"/>
        <v>-35.531699743395286</v>
      </c>
      <c r="AO37" s="17">
        <v>17085208</v>
      </c>
      <c r="AP37" s="17">
        <v>6469970</v>
      </c>
      <c r="AQ37" s="18">
        <f t="shared" si="241"/>
        <v>-62.131160475190008</v>
      </c>
      <c r="AR37" s="14">
        <f>AU37-AO37</f>
        <v>2058927</v>
      </c>
      <c r="AS37" s="14">
        <f>AV37-AP37</f>
        <v>1470532</v>
      </c>
      <c r="AT37" s="18">
        <f t="shared" si="242"/>
        <v>-28.57774947824765</v>
      </c>
      <c r="AU37" s="17">
        <v>19144135</v>
      </c>
      <c r="AV37" s="17">
        <v>7940502</v>
      </c>
      <c r="AW37" s="18">
        <f t="shared" si="243"/>
        <v>-58.522534447234101</v>
      </c>
      <c r="AX37" s="14">
        <f>BA37-AU37</f>
        <v>1286556</v>
      </c>
      <c r="AY37" s="14">
        <f>BB37-AV37</f>
        <v>1750042</v>
      </c>
      <c r="AZ37" s="18">
        <f t="shared" si="244"/>
        <v>36.025326530675692</v>
      </c>
      <c r="BA37" s="17">
        <v>20430691</v>
      </c>
      <c r="BB37" s="17">
        <v>9690544</v>
      </c>
      <c r="BC37" s="18">
        <f t="shared" si="245"/>
        <v>-52.568691876354066</v>
      </c>
      <c r="BD37" s="14">
        <f>BG37-BA37</f>
        <v>1463200</v>
      </c>
      <c r="BE37" s="14">
        <f>BH37-BB37</f>
        <v>2170537</v>
      </c>
      <c r="BF37" s="18">
        <f t="shared" si="246"/>
        <v>48.341785128485505</v>
      </c>
      <c r="BG37" s="17">
        <v>21893891</v>
      </c>
      <c r="BH37" s="17">
        <v>11861081</v>
      </c>
      <c r="BI37" s="18">
        <f t="shared" si="247"/>
        <v>-45.824700597988723</v>
      </c>
      <c r="BJ37" s="14">
        <f>BM37-BG37</f>
        <v>1327665</v>
      </c>
      <c r="BK37" s="14">
        <f>BN37-BH37</f>
        <v>1266606</v>
      </c>
      <c r="BL37" s="18">
        <f t="shared" si="248"/>
        <v>-4.5989763984137566</v>
      </c>
      <c r="BM37" s="17">
        <v>23221556</v>
      </c>
      <c r="BN37" s="17">
        <v>13127687</v>
      </c>
      <c r="BO37" s="18">
        <f t="shared" si="249"/>
        <v>-43.467668574836239</v>
      </c>
      <c r="BP37" s="14">
        <f>BS37-BM37</f>
        <v>1567110</v>
      </c>
      <c r="BQ37" s="14">
        <f>BT37-BN37</f>
        <v>2231378</v>
      </c>
      <c r="BR37" s="18">
        <f t="shared" si="250"/>
        <v>42.388090178736661</v>
      </c>
      <c r="BS37" s="17">
        <v>24788666</v>
      </c>
      <c r="BT37" s="17">
        <v>15359065</v>
      </c>
      <c r="BU37" s="18">
        <f t="shared" si="251"/>
        <v>-38.039969557054818</v>
      </c>
      <c r="BV37" s="14">
        <f>BY37-BS37</f>
        <v>1677037</v>
      </c>
      <c r="BW37" s="14">
        <f>BZ37-BT37</f>
        <v>2158926</v>
      </c>
      <c r="BX37" s="18">
        <f t="shared" si="252"/>
        <v>28.734547896081008</v>
      </c>
      <c r="BY37" s="17">
        <v>26465703</v>
      </c>
      <c r="BZ37" s="17">
        <v>17517991</v>
      </c>
      <c r="CA37" s="18">
        <f t="shared" si="253"/>
        <v>-33.808707065140119</v>
      </c>
    </row>
    <row r="38" spans="1:79" s="1" customFormat="1" ht="19.5" customHeight="1" thickBot="1">
      <c r="A38" s="123"/>
      <c r="B38" s="135"/>
      <c r="C38" s="34" t="s">
        <v>51</v>
      </c>
      <c r="D38" s="19">
        <f t="shared" ref="D38:L38" si="254">D37/D36</f>
        <v>8.6055594640959754</v>
      </c>
      <c r="E38" s="19">
        <f t="shared" si="254"/>
        <v>13.685988878116961</v>
      </c>
      <c r="F38" s="19">
        <f t="shared" si="254"/>
        <v>18.711204256168305</v>
      </c>
      <c r="G38" s="19">
        <f t="shared" si="254"/>
        <v>10.744753762882821</v>
      </c>
      <c r="H38" s="20">
        <f>H37/H36</f>
        <v>9.80547415312369</v>
      </c>
      <c r="I38" s="20">
        <f>I37/I36</f>
        <v>11.589212368911213</v>
      </c>
      <c r="J38" s="20">
        <f>J37/J36</f>
        <v>5.5619402743551456</v>
      </c>
      <c r="K38" s="20">
        <f t="shared" si="254"/>
        <v>11.049150627615063</v>
      </c>
      <c r="L38" s="20">
        <f t="shared" si="254"/>
        <v>1.6908453044907468</v>
      </c>
      <c r="M38" s="21"/>
      <c r="N38" s="20">
        <f>N37/N36</f>
        <v>5.8882988511362431</v>
      </c>
      <c r="O38" s="20">
        <f>O37/O36</f>
        <v>1.3437465030909264</v>
      </c>
      <c r="P38" s="21"/>
      <c r="Q38" s="20">
        <f>Q37/Q36</f>
        <v>7.3341613086620914</v>
      </c>
      <c r="R38" s="20">
        <f>R37/R36</f>
        <v>1.5076843199834087</v>
      </c>
      <c r="S38" s="21"/>
      <c r="T38" s="20">
        <f>T37/T36</f>
        <v>10.592987654320988</v>
      </c>
      <c r="U38" s="20">
        <f>U37/U36</f>
        <v>1.5044022668659911</v>
      </c>
      <c r="V38" s="21"/>
      <c r="W38" s="20">
        <f>W37/W36</f>
        <v>8.0566370308872024</v>
      </c>
      <c r="X38" s="20">
        <f>X37/X36</f>
        <v>1.5064343296219032</v>
      </c>
      <c r="Y38" s="21"/>
      <c r="Z38" s="20">
        <f>Z37/Z36</f>
        <v>8.80931793541804</v>
      </c>
      <c r="AA38" s="20">
        <f>AA37/AA36</f>
        <v>0.8664853163948053</v>
      </c>
      <c r="AB38" s="21"/>
      <c r="AC38" s="20">
        <f>AC37/AC36</f>
        <v>8.2490116563763021</v>
      </c>
      <c r="AD38" s="20">
        <f>AD37/AD36</f>
        <v>1.3524050274658124</v>
      </c>
      <c r="AE38" s="21"/>
      <c r="AF38" s="20">
        <f>AF37/AF36</f>
        <v>10.168063063063062</v>
      </c>
      <c r="AG38" s="20">
        <f>AG37/AG36</f>
        <v>2.2709047913249112</v>
      </c>
      <c r="AH38" s="21"/>
      <c r="AI38" s="20">
        <f>AI37/AI36</f>
        <v>8.5004435164272234</v>
      </c>
      <c r="AJ38" s="20">
        <f>AJ37/AJ36</f>
        <v>1.4443474295087142</v>
      </c>
      <c r="AK38" s="21"/>
      <c r="AL38" s="20">
        <f>AL37/AL36</f>
        <v>7.1765433089829012</v>
      </c>
      <c r="AM38" s="20">
        <f>AM37/AM36</f>
        <v>2.2690324553379853</v>
      </c>
      <c r="AN38" s="21"/>
      <c r="AO38" s="20">
        <f>AO37/AO36</f>
        <v>8.2612146376206823</v>
      </c>
      <c r="AP38" s="20">
        <f>AP37/AP36</f>
        <v>1.5997243615166348</v>
      </c>
      <c r="AQ38" s="21"/>
      <c r="AR38" s="20">
        <f>AR37/AR36</f>
        <v>7.4512413144180663</v>
      </c>
      <c r="AS38" s="20">
        <f>AS37/AS36</f>
        <v>1.5952467995413426</v>
      </c>
      <c r="AT38" s="21"/>
      <c r="AU38" s="20">
        <f>AU37/AU36</f>
        <v>8.1657498177605508</v>
      </c>
      <c r="AV38" s="20">
        <f>AV37/AV36</f>
        <v>1.598893249210823</v>
      </c>
      <c r="AW38" s="21"/>
      <c r="AX38" s="20">
        <f>AX37/AX36</f>
        <v>2.2911616476412657</v>
      </c>
      <c r="AY38" s="20">
        <f>AY37/AY36</f>
        <v>4.7105681077967452</v>
      </c>
      <c r="AZ38" s="21"/>
      <c r="BA38" s="20">
        <f>BA37/BA36</f>
        <v>7.0305852807304126</v>
      </c>
      <c r="BB38" s="20">
        <f>BB37/BB36</f>
        <v>1.8154691394128963</v>
      </c>
      <c r="BC38" s="21"/>
      <c r="BD38" s="20">
        <f>BD37/BD36</f>
        <v>4.1353893461155833</v>
      </c>
      <c r="BE38" s="20">
        <f>BE37/BE36</f>
        <v>3.5814546348562577</v>
      </c>
      <c r="BF38" s="21"/>
      <c r="BG38" s="20">
        <f>BG37/BG36</f>
        <v>6.7163357104752226</v>
      </c>
      <c r="BH38" s="20">
        <f>BH37/BH36</f>
        <v>1.9955343473178493</v>
      </c>
      <c r="BI38" s="21"/>
      <c r="BJ38" s="20">
        <f>BJ37/BJ36</f>
        <v>4.050945560837488</v>
      </c>
      <c r="BK38" s="20">
        <f>BK37/BK36</f>
        <v>2.0405596771465166</v>
      </c>
      <c r="BL38" s="21"/>
      <c r="BM38" s="20">
        <f>BM37/BM36</f>
        <v>6.4728372290865686</v>
      </c>
      <c r="BN38" s="20">
        <f>BN37/BN36</f>
        <v>1.9997917595586094</v>
      </c>
      <c r="BO38" s="21"/>
      <c r="BP38" s="20">
        <f>BP37/BP36</f>
        <v>3.314530456852792</v>
      </c>
      <c r="BQ38" s="20">
        <f>BQ37/BQ36</f>
        <v>2.0413787172689131</v>
      </c>
      <c r="BR38" s="21"/>
      <c r="BS38" s="20">
        <f>BS37/BS36</f>
        <v>6.1050730000623101</v>
      </c>
      <c r="BT38" s="20">
        <f>BT37/BT36</f>
        <v>2.0057280341454198</v>
      </c>
      <c r="BU38" s="21"/>
      <c r="BV38" s="20">
        <f>BV37/BV36</f>
        <v>2.4025664057855161</v>
      </c>
      <c r="BW38" s="20">
        <f>BW37/BW36</f>
        <v>1.8876301342195618</v>
      </c>
      <c r="BX38" s="21"/>
      <c r="BY38" s="20">
        <f>BY37/BY36</f>
        <v>5.5619402743551456</v>
      </c>
      <c r="BZ38" s="20">
        <f>BZ37/BZ36</f>
        <v>1.9903813335357272</v>
      </c>
      <c r="CA38" s="21"/>
    </row>
    <row r="39" spans="1:79" s="1" customFormat="1" ht="19.5" customHeight="1">
      <c r="A39" s="117" t="s">
        <v>22</v>
      </c>
      <c r="B39" s="133">
        <v>2614</v>
      </c>
      <c r="C39" s="32" t="s">
        <v>42</v>
      </c>
      <c r="D39" s="22">
        <v>30520007.600000001</v>
      </c>
      <c r="E39" s="22">
        <v>84060872</v>
      </c>
      <c r="F39" s="22">
        <v>154114940</v>
      </c>
      <c r="G39" s="22">
        <v>183684585</v>
      </c>
      <c r="H39" s="22">
        <v>216077625</v>
      </c>
      <c r="I39" s="22">
        <v>195178150</v>
      </c>
      <c r="J39" s="22">
        <v>120942430</v>
      </c>
      <c r="K39" s="22">
        <v>48000</v>
      </c>
      <c r="L39" s="22">
        <v>80500</v>
      </c>
      <c r="M39" s="15">
        <f t="shared" si="0"/>
        <v>67.708333333333329</v>
      </c>
      <c r="N39" s="23">
        <f>Q39-K39</f>
        <v>15931000</v>
      </c>
      <c r="O39" s="22">
        <f>R39-L39</f>
        <v>24895000</v>
      </c>
      <c r="P39" s="15">
        <f t="shared" si="1"/>
        <v>56.267654258991897</v>
      </c>
      <c r="Q39" s="22">
        <v>15979000</v>
      </c>
      <c r="R39" s="22">
        <v>24975500</v>
      </c>
      <c r="S39" s="15">
        <f t="shared" si="2"/>
        <v>56.302021403091551</v>
      </c>
      <c r="T39" s="23">
        <f>W39-Q39</f>
        <v>16293540</v>
      </c>
      <c r="U39" s="22">
        <f>X39-R39</f>
        <v>37119</v>
      </c>
      <c r="V39" s="15">
        <f t="shared" ref="V39:V40" si="255">(U39/T39-1)*100</f>
        <v>-99.772185786514171</v>
      </c>
      <c r="W39" s="22">
        <v>32272540</v>
      </c>
      <c r="X39" s="22">
        <v>25012619</v>
      </c>
      <c r="Y39" s="15">
        <f t="shared" ref="Y39:Y40" si="256">(X39/W39-1)*100</f>
        <v>-22.495660397353291</v>
      </c>
      <c r="Z39" s="23">
        <f>AC39-W39</f>
        <v>5956000</v>
      </c>
      <c r="AA39" s="22">
        <f>AD39-X39</f>
        <v>11115484</v>
      </c>
      <c r="AB39" s="15">
        <f t="shared" ref="AB39:AB40" si="257">(AA39/Z39-1)*100</f>
        <v>86.626662189388853</v>
      </c>
      <c r="AC39" s="22">
        <v>38228540</v>
      </c>
      <c r="AD39" s="22">
        <v>36128103</v>
      </c>
      <c r="AE39" s="15">
        <f t="shared" ref="AE39:AE40" si="258">(AD39/AC39-1)*100</f>
        <v>-5.4944211837543389</v>
      </c>
      <c r="AF39" s="23">
        <f>AI39-AC39</f>
        <v>7140000</v>
      </c>
      <c r="AG39" s="22">
        <f>AJ39-AD39</f>
        <v>7018042</v>
      </c>
      <c r="AH39" s="15">
        <f t="shared" ref="AH39:AH40" si="259">(AG39/AF39-1)*100</f>
        <v>-1.7080952380952419</v>
      </c>
      <c r="AI39" s="22">
        <v>45368540</v>
      </c>
      <c r="AJ39" s="22">
        <v>43146145</v>
      </c>
      <c r="AK39" s="15">
        <f t="shared" ref="AK39:AK40" si="260">(AJ39/AI39-1)*100</f>
        <v>-4.8985376210034515</v>
      </c>
      <c r="AL39" s="23">
        <f>AO39-AI39</f>
        <v>6000</v>
      </c>
      <c r="AM39" s="22">
        <f>AP39-AJ39</f>
        <v>17009000</v>
      </c>
      <c r="AN39" s="15">
        <f t="shared" ref="AN39:AN40" si="261">(AM39/AL39-1)*100</f>
        <v>283383.33333333337</v>
      </c>
      <c r="AO39" s="22">
        <v>45374540</v>
      </c>
      <c r="AP39" s="22">
        <v>60155145</v>
      </c>
      <c r="AQ39" s="15">
        <f t="shared" ref="AQ39:AQ40" si="262">(AP39/AO39-1)*100</f>
        <v>32.574666321686131</v>
      </c>
      <c r="AR39" s="23">
        <f>AU39-AO39</f>
        <v>7574000</v>
      </c>
      <c r="AS39" s="22">
        <f>AV39-AP39</f>
        <v>17075000</v>
      </c>
      <c r="AT39" s="15">
        <f t="shared" ref="AT39:AT40" si="263">(AS39/AR39-1)*100</f>
        <v>125.4423026142065</v>
      </c>
      <c r="AU39" s="22">
        <v>52948540</v>
      </c>
      <c r="AV39" s="22">
        <v>77230145</v>
      </c>
      <c r="AW39" s="15">
        <f t="shared" ref="AW39:AW40" si="264">(AV39/AU39-1)*100</f>
        <v>45.858875428859804</v>
      </c>
      <c r="AX39" s="23">
        <f>BA39-AU39</f>
        <v>35000</v>
      </c>
      <c r="AY39" s="22">
        <f>BB39-AV39</f>
        <v>20355750</v>
      </c>
      <c r="AZ39" s="15">
        <f t="shared" ref="AZ39:AZ40" si="265">(AY39/AX39-1)*100</f>
        <v>58059.285714285717</v>
      </c>
      <c r="BA39" s="22">
        <v>52983540</v>
      </c>
      <c r="BB39" s="22">
        <v>97585895</v>
      </c>
      <c r="BC39" s="15">
        <f t="shared" ref="BC39:BC40" si="266">(BB39/BA39-1)*100</f>
        <v>84.181530716898109</v>
      </c>
      <c r="BD39" s="23">
        <f>BG39-BA39</f>
        <v>11086000</v>
      </c>
      <c r="BE39" s="22">
        <f>BH39-BB39</f>
        <v>19988250</v>
      </c>
      <c r="BF39" s="15">
        <f t="shared" ref="BF39:BF40" si="267">(BE39/BD39-1)*100</f>
        <v>80.301731914125924</v>
      </c>
      <c r="BG39" s="22">
        <v>64069540</v>
      </c>
      <c r="BH39" s="22">
        <v>117574145</v>
      </c>
      <c r="BI39" s="15">
        <f t="shared" ref="BI39:BI40" si="268">(BH39/BG39-1)*100</f>
        <v>83.510206254017135</v>
      </c>
      <c r="BJ39" s="23">
        <f>BM39-BG39</f>
        <v>16639500</v>
      </c>
      <c r="BK39" s="22">
        <f>BN39-BH39</f>
        <v>20798510</v>
      </c>
      <c r="BL39" s="15">
        <f t="shared" ref="BL39:BL40" si="269">(BK39/BJ39-1)*100</f>
        <v>24.994801526488185</v>
      </c>
      <c r="BM39" s="22">
        <v>80709040</v>
      </c>
      <c r="BN39" s="22">
        <v>138372655</v>
      </c>
      <c r="BO39" s="15">
        <f t="shared" ref="BO39:BO40" si="270">(BN39/BM39-1)*100</f>
        <v>71.446290279254953</v>
      </c>
      <c r="BP39" s="23">
        <f>BS39-BM39</f>
        <v>10024390</v>
      </c>
      <c r="BQ39" s="22">
        <f>BT39-BN39</f>
        <v>11063750</v>
      </c>
      <c r="BR39" s="15">
        <f t="shared" ref="BR39:BR40" si="271">(BQ39/BP39-1)*100</f>
        <v>10.368311687793463</v>
      </c>
      <c r="BS39" s="22">
        <v>90733430</v>
      </c>
      <c r="BT39" s="22">
        <v>149436405</v>
      </c>
      <c r="BU39" s="15">
        <f t="shared" ref="BU39:BU40" si="272">(BT39/BS39-1)*100</f>
        <v>64.698287059135765</v>
      </c>
      <c r="BV39" s="23">
        <f>BY39-BS39</f>
        <v>30209000</v>
      </c>
      <c r="BW39" s="22">
        <f>BZ39-BT39</f>
        <v>34921500</v>
      </c>
      <c r="BX39" s="15">
        <f t="shared" ref="BX39:BX40" si="273">(BW39/BV39-1)*100</f>
        <v>15.599655731735584</v>
      </c>
      <c r="BY39" s="22">
        <v>120942430</v>
      </c>
      <c r="BZ39" s="22">
        <v>184357905</v>
      </c>
      <c r="CA39" s="15">
        <f t="shared" ref="CA39:CA40" si="274">(BZ39/BY39-1)*100</f>
        <v>52.434430993324675</v>
      </c>
    </row>
    <row r="40" spans="1:79" s="1" customFormat="1" ht="19.5" customHeight="1">
      <c r="A40" s="122"/>
      <c r="B40" s="134"/>
      <c r="C40" s="33" t="s">
        <v>50</v>
      </c>
      <c r="D40" s="17">
        <v>3109095</v>
      </c>
      <c r="E40" s="17">
        <v>5608832</v>
      </c>
      <c r="F40" s="17">
        <v>10878037</v>
      </c>
      <c r="G40" s="17">
        <v>13471669</v>
      </c>
      <c r="H40" s="17">
        <v>15415153</v>
      </c>
      <c r="I40" s="17">
        <v>17450839</v>
      </c>
      <c r="J40" s="17">
        <v>8819519</v>
      </c>
      <c r="K40" s="17">
        <v>80905</v>
      </c>
      <c r="L40" s="17">
        <v>93309</v>
      </c>
      <c r="M40" s="18">
        <f t="shared" si="0"/>
        <v>15.331561708176267</v>
      </c>
      <c r="N40" s="14">
        <f>Q40-K40</f>
        <v>1197751</v>
      </c>
      <c r="O40" s="14">
        <f>R40-L40</f>
        <v>1105144</v>
      </c>
      <c r="P40" s="18">
        <f t="shared" si="1"/>
        <v>-7.7317405704524607</v>
      </c>
      <c r="Q40" s="17">
        <v>1278656</v>
      </c>
      <c r="R40" s="17">
        <v>1198453</v>
      </c>
      <c r="S40" s="18">
        <f t="shared" si="2"/>
        <v>-6.2724454427148473</v>
      </c>
      <c r="T40" s="14">
        <f>W40-Q40</f>
        <v>1321985</v>
      </c>
      <c r="U40" s="14">
        <f>X40-R40</f>
        <v>55826</v>
      </c>
      <c r="V40" s="18">
        <f t="shared" si="255"/>
        <v>-95.777107909696397</v>
      </c>
      <c r="W40" s="17">
        <v>2600641</v>
      </c>
      <c r="X40" s="17">
        <v>1254279</v>
      </c>
      <c r="Y40" s="18">
        <f t="shared" si="256"/>
        <v>-51.770390453738138</v>
      </c>
      <c r="Z40" s="14">
        <f>AC40-W40</f>
        <v>605322</v>
      </c>
      <c r="AA40" s="14">
        <f>AD40-X40</f>
        <v>709985</v>
      </c>
      <c r="AB40" s="18">
        <f t="shared" si="257"/>
        <v>17.290466892001287</v>
      </c>
      <c r="AC40" s="17">
        <v>3205963</v>
      </c>
      <c r="AD40" s="17">
        <v>1964264</v>
      </c>
      <c r="AE40" s="18">
        <f t="shared" si="258"/>
        <v>-38.730921099214186</v>
      </c>
      <c r="AF40" s="14">
        <f>AI40-AC40</f>
        <v>715873</v>
      </c>
      <c r="AG40" s="14">
        <f>AJ40-AD40</f>
        <v>458723</v>
      </c>
      <c r="AH40" s="18">
        <f t="shared" si="259"/>
        <v>-35.921175962775521</v>
      </c>
      <c r="AI40" s="17">
        <v>3921836</v>
      </c>
      <c r="AJ40" s="17">
        <v>2422987</v>
      </c>
      <c r="AK40" s="18">
        <f t="shared" si="260"/>
        <v>-38.218043793774136</v>
      </c>
      <c r="AL40" s="14">
        <f>AO40-AI40</f>
        <v>8370</v>
      </c>
      <c r="AM40" s="14">
        <f>AP40-AJ40</f>
        <v>999812</v>
      </c>
      <c r="AN40" s="18">
        <f t="shared" si="261"/>
        <v>11845.185185185186</v>
      </c>
      <c r="AO40" s="17">
        <v>3930206</v>
      </c>
      <c r="AP40" s="17">
        <v>3422799</v>
      </c>
      <c r="AQ40" s="18">
        <f t="shared" si="262"/>
        <v>-12.910442862282533</v>
      </c>
      <c r="AR40" s="14">
        <f>AU40-AO40</f>
        <v>801548</v>
      </c>
      <c r="AS40" s="14">
        <f>AV40-AP40</f>
        <v>1018931</v>
      </c>
      <c r="AT40" s="18">
        <f t="shared" si="263"/>
        <v>27.120397031743583</v>
      </c>
      <c r="AU40" s="17">
        <v>4731754</v>
      </c>
      <c r="AV40" s="17">
        <v>4441730</v>
      </c>
      <c r="AW40" s="18">
        <f t="shared" si="264"/>
        <v>-6.129312724203329</v>
      </c>
      <c r="AX40" s="14">
        <f>BA40-AU40</f>
        <v>60007</v>
      </c>
      <c r="AY40" s="14">
        <f>BB40-AV40</f>
        <v>728146</v>
      </c>
      <c r="AZ40" s="18">
        <f t="shared" si="265"/>
        <v>1113.4350992384223</v>
      </c>
      <c r="BA40" s="17">
        <v>4791761</v>
      </c>
      <c r="BB40" s="17">
        <v>5169876</v>
      </c>
      <c r="BC40" s="18">
        <f t="shared" si="266"/>
        <v>7.8909403035752446</v>
      </c>
      <c r="BD40" s="14">
        <f>BG40-BA40</f>
        <v>686256</v>
      </c>
      <c r="BE40" s="14">
        <f>BH40-BB40</f>
        <v>1027537</v>
      </c>
      <c r="BF40" s="18">
        <f t="shared" si="267"/>
        <v>49.730858455153772</v>
      </c>
      <c r="BG40" s="17">
        <v>5478017</v>
      </c>
      <c r="BH40" s="17">
        <v>6197413</v>
      </c>
      <c r="BI40" s="18">
        <f t="shared" si="268"/>
        <v>13.132416347010235</v>
      </c>
      <c r="BJ40" s="14">
        <f>BM40-BG40</f>
        <v>1116599</v>
      </c>
      <c r="BK40" s="14">
        <f>BN40-BH40</f>
        <v>792148</v>
      </c>
      <c r="BL40" s="18">
        <f t="shared" si="269"/>
        <v>-29.057074204795097</v>
      </c>
      <c r="BM40" s="17">
        <v>6594616</v>
      </c>
      <c r="BN40" s="17">
        <v>6989561</v>
      </c>
      <c r="BO40" s="18">
        <f t="shared" si="270"/>
        <v>5.9889006425847935</v>
      </c>
      <c r="BP40" s="14">
        <f>BS40-BM40</f>
        <v>536138</v>
      </c>
      <c r="BQ40" s="14">
        <f>BT40-BN40</f>
        <v>636430</v>
      </c>
      <c r="BR40" s="18">
        <f t="shared" si="271"/>
        <v>18.706377835557262</v>
      </c>
      <c r="BS40" s="17">
        <v>7130754</v>
      </c>
      <c r="BT40" s="17">
        <v>7625991</v>
      </c>
      <c r="BU40" s="18">
        <f t="shared" si="272"/>
        <v>6.9450860315753316</v>
      </c>
      <c r="BV40" s="14">
        <f>BY40-BS40</f>
        <v>1688765</v>
      </c>
      <c r="BW40" s="14">
        <f>BZ40-BT40</f>
        <v>1699770</v>
      </c>
      <c r="BX40" s="18">
        <f t="shared" si="273"/>
        <v>0.65165964476998628</v>
      </c>
      <c r="BY40" s="17">
        <v>8819519</v>
      </c>
      <c r="BZ40" s="17">
        <v>9325761</v>
      </c>
      <c r="CA40" s="18">
        <f t="shared" si="274"/>
        <v>5.7400182481607054</v>
      </c>
    </row>
    <row r="41" spans="1:79" s="1" customFormat="1" ht="19.5" customHeight="1" thickBot="1">
      <c r="A41" s="123"/>
      <c r="B41" s="135"/>
      <c r="C41" s="34" t="s">
        <v>51</v>
      </c>
      <c r="D41" s="19">
        <f t="shared" ref="D41:L41" si="275">D40/D39</f>
        <v>0.10187071513049033</v>
      </c>
      <c r="E41" s="19">
        <f t="shared" si="275"/>
        <v>6.6723457258449567E-2</v>
      </c>
      <c r="F41" s="19">
        <f t="shared" si="275"/>
        <v>7.058392262294623E-2</v>
      </c>
      <c r="G41" s="19">
        <f t="shared" si="275"/>
        <v>7.3341314950299177E-2</v>
      </c>
      <c r="H41" s="20">
        <f>H40/H39</f>
        <v>7.1340810970131688E-2</v>
      </c>
      <c r="I41" s="20">
        <f>I40/I39</f>
        <v>8.9409798176691396E-2</v>
      </c>
      <c r="J41" s="20">
        <f>J40/J39</f>
        <v>7.2923282589906616E-2</v>
      </c>
      <c r="K41" s="20">
        <f t="shared" si="275"/>
        <v>1.6855208333333334</v>
      </c>
      <c r="L41" s="20">
        <f t="shared" si="275"/>
        <v>1.1591180124223603</v>
      </c>
      <c r="M41" s="21"/>
      <c r="N41" s="20">
        <f>N40/N39</f>
        <v>7.5183667064214421E-2</v>
      </c>
      <c r="O41" s="20">
        <f>O40/O39</f>
        <v>4.4392207270536249E-2</v>
      </c>
      <c r="P41" s="21"/>
      <c r="Q41" s="20">
        <f>Q40/Q39</f>
        <v>8.0021027598723329E-2</v>
      </c>
      <c r="R41" s="20">
        <f>R40/R39</f>
        <v>4.7985145442533683E-2</v>
      </c>
      <c r="S41" s="21"/>
      <c r="T41" s="20">
        <f>T40/T39</f>
        <v>8.1135529786651645E-2</v>
      </c>
      <c r="U41" s="20">
        <f>U40/U39</f>
        <v>1.5039737061882055</v>
      </c>
      <c r="V41" s="21"/>
      <c r="W41" s="20">
        <f>W40/W39</f>
        <v>8.058370986603472E-2</v>
      </c>
      <c r="X41" s="20">
        <f>X40/X39</f>
        <v>5.0145848381570921E-2</v>
      </c>
      <c r="Y41" s="21"/>
      <c r="Z41" s="20">
        <f>Z40/Z39</f>
        <v>0.10163230355943587</v>
      </c>
      <c r="AA41" s="20">
        <f>AA40/AA39</f>
        <v>6.3873511940640643E-2</v>
      </c>
      <c r="AB41" s="21"/>
      <c r="AC41" s="20">
        <f>AC40/AC39</f>
        <v>8.386307716695432E-2</v>
      </c>
      <c r="AD41" s="20">
        <f>AD40/AD39</f>
        <v>5.4369419839176168E-2</v>
      </c>
      <c r="AE41" s="21"/>
      <c r="AF41" s="20">
        <f>AF40/AF39</f>
        <v>0.10026232492997199</v>
      </c>
      <c r="AG41" s="20">
        <f>AG40/AG39</f>
        <v>6.5363387679925541E-2</v>
      </c>
      <c r="AH41" s="21"/>
      <c r="AI41" s="20">
        <f>AI40/AI39</f>
        <v>8.6443954334876102E-2</v>
      </c>
      <c r="AJ41" s="20">
        <f>AJ40/AJ39</f>
        <v>5.6157670633146944E-2</v>
      </c>
      <c r="AK41" s="21"/>
      <c r="AL41" s="20">
        <f>AL40/AL39</f>
        <v>1.395</v>
      </c>
      <c r="AM41" s="20">
        <f>AM40/AM39</f>
        <v>5.8781351049444409E-2</v>
      </c>
      <c r="AN41" s="21"/>
      <c r="AO41" s="20">
        <f>AO40/AO39</f>
        <v>8.6616988293435046E-2</v>
      </c>
      <c r="AP41" s="20">
        <f>AP40/AP39</f>
        <v>5.6899522060831209E-2</v>
      </c>
      <c r="AQ41" s="21"/>
      <c r="AR41" s="20">
        <f>AR40/AR39</f>
        <v>0.10582888830208609</v>
      </c>
      <c r="AS41" s="20">
        <f>AS40/AS39</f>
        <v>5.9673850658857983E-2</v>
      </c>
      <c r="AT41" s="21"/>
      <c r="AU41" s="20">
        <f>AU40/AU39</f>
        <v>8.9365145856712958E-2</v>
      </c>
      <c r="AV41" s="20">
        <f>AV40/AV39</f>
        <v>5.7512905096837513E-2</v>
      </c>
      <c r="AW41" s="21"/>
      <c r="AX41" s="20">
        <f>AX40/AX39</f>
        <v>1.7144857142857144</v>
      </c>
      <c r="AY41" s="20">
        <f>AY40/AY39</f>
        <v>3.5771022929639046E-2</v>
      </c>
      <c r="AZ41" s="21"/>
      <c r="BA41" s="20">
        <f>BA40/BA39</f>
        <v>9.0438672085708133E-2</v>
      </c>
      <c r="BB41" s="20">
        <f>BB40/BB39</f>
        <v>5.297769723790513E-2</v>
      </c>
      <c r="BC41" s="21"/>
      <c r="BD41" s="20">
        <f>BD40/BD39</f>
        <v>6.190294064585964E-2</v>
      </c>
      <c r="BE41" s="20">
        <f>BE40/BE39</f>
        <v>5.1407051642840165E-2</v>
      </c>
      <c r="BF41" s="21"/>
      <c r="BG41" s="20">
        <f>BG40/BG39</f>
        <v>8.5501113321556549E-2</v>
      </c>
      <c r="BH41" s="20">
        <f>BH40/BH39</f>
        <v>5.2710678865663878E-2</v>
      </c>
      <c r="BI41" s="21"/>
      <c r="BJ41" s="20">
        <f>BJ40/BJ39</f>
        <v>6.7105321674329158E-2</v>
      </c>
      <c r="BK41" s="20">
        <f>BK40/BK39</f>
        <v>3.8086766792428881E-2</v>
      </c>
      <c r="BL41" s="21"/>
      <c r="BM41" s="20">
        <f>BM40/BM39</f>
        <v>8.1708517410193457E-2</v>
      </c>
      <c r="BN41" s="20">
        <f>BN40/BN39</f>
        <v>5.0512588632486671E-2</v>
      </c>
      <c r="BO41" s="21"/>
      <c r="BP41" s="20">
        <f>BP40/BP39</f>
        <v>5.3483354099351683E-2</v>
      </c>
      <c r="BQ41" s="20">
        <f>BQ40/BQ39</f>
        <v>5.7523895605016383E-2</v>
      </c>
      <c r="BR41" s="21"/>
      <c r="BS41" s="20">
        <f>BS40/BS39</f>
        <v>7.8590151391829885E-2</v>
      </c>
      <c r="BT41" s="20">
        <f>BT40/BT39</f>
        <v>5.1031681336284822E-2</v>
      </c>
      <c r="BU41" s="21"/>
      <c r="BV41" s="20">
        <f>BV40/BV39</f>
        <v>5.590271111258234E-2</v>
      </c>
      <c r="BW41" s="20">
        <f>BW40/BW39</f>
        <v>4.8674026029809719E-2</v>
      </c>
      <c r="BX41" s="21"/>
      <c r="BY41" s="20">
        <f>BY40/BY39</f>
        <v>7.2923282589906616E-2</v>
      </c>
      <c r="BZ41" s="20">
        <f>BZ40/BZ39</f>
        <v>5.0585088824913693E-2</v>
      </c>
      <c r="CA41" s="21"/>
    </row>
    <row r="42" spans="1:79" s="1" customFormat="1" ht="19.5" customHeight="1">
      <c r="A42" s="117" t="s">
        <v>23</v>
      </c>
      <c r="B42" s="114">
        <v>2617</v>
      </c>
      <c r="C42" s="32" t="s">
        <v>42</v>
      </c>
      <c r="D42" s="22">
        <v>423117</v>
      </c>
      <c r="E42" s="22">
        <v>622305.5</v>
      </c>
      <c r="F42" s="22">
        <v>7321</v>
      </c>
      <c r="G42" s="22">
        <v>97740</v>
      </c>
      <c r="H42" s="22">
        <v>17019</v>
      </c>
      <c r="I42" s="22">
        <v>100</v>
      </c>
      <c r="J42" s="22">
        <v>43</v>
      </c>
      <c r="K42" s="22">
        <v>0</v>
      </c>
      <c r="L42" s="22">
        <v>0</v>
      </c>
      <c r="M42" s="15" t="e">
        <f t="shared" si="0"/>
        <v>#DIV/0!</v>
      </c>
      <c r="N42" s="23">
        <f>Q42-K42</f>
        <v>0</v>
      </c>
      <c r="O42" s="22">
        <f>R42-L42</f>
        <v>0</v>
      </c>
      <c r="P42" s="15" t="e">
        <f t="shared" si="1"/>
        <v>#DIV/0!</v>
      </c>
      <c r="Q42" s="22">
        <v>0</v>
      </c>
      <c r="R42" s="22">
        <v>0</v>
      </c>
      <c r="S42" s="15" t="e">
        <f t="shared" si="2"/>
        <v>#DIV/0!</v>
      </c>
      <c r="T42" s="23">
        <f>W42-Q42</f>
        <v>0</v>
      </c>
      <c r="U42" s="22">
        <f>X42-R42</f>
        <v>0</v>
      </c>
      <c r="V42" s="15" t="e">
        <f t="shared" ref="V42:V43" si="276">(U42/T42-1)*100</f>
        <v>#DIV/0!</v>
      </c>
      <c r="W42" s="22">
        <v>0</v>
      </c>
      <c r="X42" s="22">
        <v>0</v>
      </c>
      <c r="Y42" s="15" t="e">
        <f t="shared" ref="Y42:Y43" si="277">(X42/W42-1)*100</f>
        <v>#DIV/0!</v>
      </c>
      <c r="Z42" s="23">
        <f>AC42-W42</f>
        <v>0</v>
      </c>
      <c r="AA42" s="22">
        <f>AD42-X42</f>
        <v>4</v>
      </c>
      <c r="AB42" s="15" t="e">
        <f t="shared" ref="AB42:AB43" si="278">(AA42/Z42-1)*100</f>
        <v>#DIV/0!</v>
      </c>
      <c r="AC42" s="22">
        <v>0</v>
      </c>
      <c r="AD42" s="22">
        <v>4</v>
      </c>
      <c r="AE42" s="15" t="e">
        <f t="shared" ref="AE42:AE43" si="279">(AD42/AC42-1)*100</f>
        <v>#DIV/0!</v>
      </c>
      <c r="AF42" s="23">
        <f>AI42-AC42</f>
        <v>0</v>
      </c>
      <c r="AG42" s="22">
        <f>AJ42-AD42</f>
        <v>0</v>
      </c>
      <c r="AH42" s="15" t="e">
        <f t="shared" ref="AH42:AH43" si="280">(AG42/AF42-1)*100</f>
        <v>#DIV/0!</v>
      </c>
      <c r="AI42" s="22">
        <v>0</v>
      </c>
      <c r="AJ42" s="22">
        <v>4</v>
      </c>
      <c r="AK42" s="15" t="e">
        <f t="shared" ref="AK42:AK43" si="281">(AJ42/AI42-1)*100</f>
        <v>#DIV/0!</v>
      </c>
      <c r="AL42" s="23">
        <f>AO42-AI42</f>
        <v>0</v>
      </c>
      <c r="AM42" s="22">
        <f>AP42-AJ42</f>
        <v>1</v>
      </c>
      <c r="AN42" s="15" t="e">
        <f t="shared" ref="AN42:AN43" si="282">(AM42/AL42-1)*100</f>
        <v>#DIV/0!</v>
      </c>
      <c r="AO42" s="22">
        <v>0</v>
      </c>
      <c r="AP42" s="22">
        <v>5</v>
      </c>
      <c r="AQ42" s="15" t="e">
        <f t="shared" ref="AQ42:AQ43" si="283">(AP42/AO42-1)*100</f>
        <v>#DIV/0!</v>
      </c>
      <c r="AR42" s="23">
        <f>AU42-AO42</f>
        <v>0</v>
      </c>
      <c r="AS42" s="22">
        <f>AV42-AP42</f>
        <v>0</v>
      </c>
      <c r="AT42" s="15" t="e">
        <f t="shared" ref="AT42:AT43" si="284">(AS42/AR42-1)*100</f>
        <v>#DIV/0!</v>
      </c>
      <c r="AU42" s="22">
        <v>0</v>
      </c>
      <c r="AV42" s="22">
        <v>5</v>
      </c>
      <c r="AW42" s="15" t="e">
        <f t="shared" ref="AW42:AW43" si="285">(AV42/AU42-1)*100</f>
        <v>#DIV/0!</v>
      </c>
      <c r="AX42" s="23">
        <f>BA42-AU42</f>
        <v>0</v>
      </c>
      <c r="AY42" s="22">
        <f>BB42-AV42</f>
        <v>0</v>
      </c>
      <c r="AZ42" s="15" t="e">
        <f t="shared" ref="AZ42:AZ43" si="286">(AY42/AX42-1)*100</f>
        <v>#DIV/0!</v>
      </c>
      <c r="BA42" s="22">
        <v>0</v>
      </c>
      <c r="BB42" s="22">
        <v>5</v>
      </c>
      <c r="BC42" s="15" t="e">
        <f t="shared" ref="BC42:BC43" si="287">(BB42/BA42-1)*100</f>
        <v>#DIV/0!</v>
      </c>
      <c r="BD42" s="23">
        <f>BG42-BA42</f>
        <v>0</v>
      </c>
      <c r="BE42" s="22">
        <f>BH42-BB42</f>
        <v>0</v>
      </c>
      <c r="BF42" s="15" t="e">
        <f t="shared" ref="BF42:BF43" si="288">(BE42/BD42-1)*100</f>
        <v>#DIV/0!</v>
      </c>
      <c r="BG42" s="22">
        <v>0</v>
      </c>
      <c r="BH42" s="22">
        <v>5</v>
      </c>
      <c r="BI42" s="15" t="e">
        <f t="shared" ref="BI42:BI43" si="289">(BH42/BG42-1)*100</f>
        <v>#DIV/0!</v>
      </c>
      <c r="BJ42" s="23">
        <f>BM42-BG42</f>
        <v>43</v>
      </c>
      <c r="BK42" s="22">
        <f>BN42-BH42</f>
        <v>14000</v>
      </c>
      <c r="BL42" s="15">
        <f t="shared" ref="BL42:BL43" si="290">(BK42/BJ42-1)*100</f>
        <v>32458.139534883718</v>
      </c>
      <c r="BM42" s="22">
        <v>43</v>
      </c>
      <c r="BN42" s="22">
        <v>14005</v>
      </c>
      <c r="BO42" s="15">
        <f t="shared" ref="BO42:BO43" si="291">(BN42/BM42-1)*100</f>
        <v>32469.767441860466</v>
      </c>
      <c r="BP42" s="23">
        <f>BS42-BM42</f>
        <v>0</v>
      </c>
      <c r="BQ42" s="22">
        <f>BT42-BN42</f>
        <v>537</v>
      </c>
      <c r="BR42" s="15" t="e">
        <f t="shared" ref="BR42:BR43" si="292">(BQ42/BP42-1)*100</f>
        <v>#DIV/0!</v>
      </c>
      <c r="BS42" s="22">
        <v>43</v>
      </c>
      <c r="BT42" s="22">
        <v>14542</v>
      </c>
      <c r="BU42" s="15">
        <f t="shared" ref="BU42:BU43" si="293">(BT42/BS42-1)*100</f>
        <v>33718.604651162794</v>
      </c>
      <c r="BV42" s="23">
        <f>BY42-BS42</f>
        <v>0</v>
      </c>
      <c r="BW42" s="22">
        <f>BZ42-BT42</f>
        <v>17099</v>
      </c>
      <c r="BX42" s="15" t="e">
        <f t="shared" ref="BX42:BX43" si="294">(BW42/BV42-1)*100</f>
        <v>#DIV/0!</v>
      </c>
      <c r="BY42" s="22">
        <v>43</v>
      </c>
      <c r="BZ42" s="22">
        <v>31641</v>
      </c>
      <c r="CA42" s="15">
        <f t="shared" ref="CA42:CA43" si="295">(BZ42/BY42-1)*100</f>
        <v>73483.720930232565</v>
      </c>
    </row>
    <row r="43" spans="1:79" s="1" customFormat="1" ht="19.5" customHeight="1">
      <c r="A43" s="118"/>
      <c r="B43" s="120"/>
      <c r="C43" s="33" t="s">
        <v>50</v>
      </c>
      <c r="D43" s="17">
        <v>286525</v>
      </c>
      <c r="E43" s="17">
        <v>421769</v>
      </c>
      <c r="F43" s="17">
        <v>36714</v>
      </c>
      <c r="G43" s="17">
        <v>66023</v>
      </c>
      <c r="H43" s="17">
        <v>35785</v>
      </c>
      <c r="I43" s="17">
        <v>2300</v>
      </c>
      <c r="J43" s="17">
        <v>9203</v>
      </c>
      <c r="K43" s="17">
        <v>0</v>
      </c>
      <c r="L43" s="17">
        <v>0</v>
      </c>
      <c r="M43" s="18" t="e">
        <f t="shared" si="0"/>
        <v>#DIV/0!</v>
      </c>
      <c r="N43" s="14">
        <f>Q43-K43</f>
        <v>0</v>
      </c>
      <c r="O43" s="14">
        <f>R43-L43</f>
        <v>0</v>
      </c>
      <c r="P43" s="18" t="e">
        <f t="shared" si="1"/>
        <v>#DIV/0!</v>
      </c>
      <c r="Q43" s="17">
        <v>0</v>
      </c>
      <c r="R43" s="17">
        <v>0</v>
      </c>
      <c r="S43" s="18" t="e">
        <f t="shared" si="2"/>
        <v>#DIV/0!</v>
      </c>
      <c r="T43" s="14">
        <f>W43-Q43</f>
        <v>0</v>
      </c>
      <c r="U43" s="14">
        <f>X43-R43</f>
        <v>0</v>
      </c>
      <c r="V43" s="18" t="e">
        <f t="shared" si="276"/>
        <v>#DIV/0!</v>
      </c>
      <c r="W43" s="17">
        <v>0</v>
      </c>
      <c r="X43" s="17">
        <v>0</v>
      </c>
      <c r="Y43" s="18" t="e">
        <f t="shared" si="277"/>
        <v>#DIV/0!</v>
      </c>
      <c r="Z43" s="14">
        <f>AC43-W43</f>
        <v>0</v>
      </c>
      <c r="AA43" s="14">
        <f>AD43-X43</f>
        <v>119</v>
      </c>
      <c r="AB43" s="18" t="e">
        <f t="shared" si="278"/>
        <v>#DIV/0!</v>
      </c>
      <c r="AC43" s="17">
        <v>0</v>
      </c>
      <c r="AD43" s="17">
        <v>119</v>
      </c>
      <c r="AE43" s="18" t="e">
        <f t="shared" si="279"/>
        <v>#DIV/0!</v>
      </c>
      <c r="AF43" s="14">
        <f>AI43-AC43</f>
        <v>0</v>
      </c>
      <c r="AG43" s="14">
        <f>AJ43-AD43</f>
        <v>0</v>
      </c>
      <c r="AH43" s="18" t="e">
        <f t="shared" si="280"/>
        <v>#DIV/0!</v>
      </c>
      <c r="AI43" s="17">
        <v>0</v>
      </c>
      <c r="AJ43" s="17">
        <v>119</v>
      </c>
      <c r="AK43" s="18" t="e">
        <f t="shared" si="281"/>
        <v>#DIV/0!</v>
      </c>
      <c r="AL43" s="14">
        <f>AO43-AI43</f>
        <v>0</v>
      </c>
      <c r="AM43" s="14">
        <f>AP43-AJ43</f>
        <v>96</v>
      </c>
      <c r="AN43" s="18" t="e">
        <f t="shared" si="282"/>
        <v>#DIV/0!</v>
      </c>
      <c r="AO43" s="17">
        <v>0</v>
      </c>
      <c r="AP43" s="17">
        <v>215</v>
      </c>
      <c r="AQ43" s="18" t="e">
        <f t="shared" si="283"/>
        <v>#DIV/0!</v>
      </c>
      <c r="AR43" s="14">
        <f>AU43-AO43</f>
        <v>0</v>
      </c>
      <c r="AS43" s="14">
        <f>AV43-AP43</f>
        <v>0</v>
      </c>
      <c r="AT43" s="18" t="e">
        <f t="shared" si="284"/>
        <v>#DIV/0!</v>
      </c>
      <c r="AU43" s="17">
        <v>0</v>
      </c>
      <c r="AV43" s="17">
        <v>215</v>
      </c>
      <c r="AW43" s="18" t="e">
        <f t="shared" si="285"/>
        <v>#DIV/0!</v>
      </c>
      <c r="AX43" s="14">
        <f>BA43-AU43</f>
        <v>0</v>
      </c>
      <c r="AY43" s="14">
        <f>BB43-AV43</f>
        <v>0</v>
      </c>
      <c r="AZ43" s="18" t="e">
        <f t="shared" si="286"/>
        <v>#DIV/0!</v>
      </c>
      <c r="BA43" s="17">
        <v>0</v>
      </c>
      <c r="BB43" s="17">
        <v>215</v>
      </c>
      <c r="BC43" s="18" t="e">
        <f t="shared" si="287"/>
        <v>#DIV/0!</v>
      </c>
      <c r="BD43" s="14">
        <f>BG43-BA43</f>
        <v>0</v>
      </c>
      <c r="BE43" s="14">
        <f>BH43-BB43</f>
        <v>343</v>
      </c>
      <c r="BF43" s="18" t="e">
        <f t="shared" si="288"/>
        <v>#DIV/0!</v>
      </c>
      <c r="BG43" s="17">
        <v>0</v>
      </c>
      <c r="BH43" s="17">
        <v>558</v>
      </c>
      <c r="BI43" s="18" t="e">
        <f t="shared" si="289"/>
        <v>#DIV/0!</v>
      </c>
      <c r="BJ43" s="14">
        <f>BM43-BG43</f>
        <v>9203</v>
      </c>
      <c r="BK43" s="14">
        <f>BN43-BH43</f>
        <v>6700</v>
      </c>
      <c r="BL43" s="18">
        <f t="shared" si="290"/>
        <v>-27.197652939258944</v>
      </c>
      <c r="BM43" s="17">
        <v>9203</v>
      </c>
      <c r="BN43" s="17">
        <v>7258</v>
      </c>
      <c r="BO43" s="18">
        <f t="shared" si="291"/>
        <v>-21.134412691513639</v>
      </c>
      <c r="BP43" s="14">
        <f>BS43-BM43</f>
        <v>0</v>
      </c>
      <c r="BQ43" s="14">
        <f>BT43-BN43</f>
        <v>1555</v>
      </c>
      <c r="BR43" s="18" t="e">
        <f t="shared" si="292"/>
        <v>#DIV/0!</v>
      </c>
      <c r="BS43" s="17">
        <v>9203</v>
      </c>
      <c r="BT43" s="17">
        <v>8813</v>
      </c>
      <c r="BU43" s="18">
        <f t="shared" si="293"/>
        <v>-4.237748560252097</v>
      </c>
      <c r="BV43" s="14">
        <f>BY43-BS43</f>
        <v>0</v>
      </c>
      <c r="BW43" s="14">
        <f>BZ43-BT43</f>
        <v>52051</v>
      </c>
      <c r="BX43" s="18" t="e">
        <f t="shared" si="294"/>
        <v>#DIV/0!</v>
      </c>
      <c r="BY43" s="17">
        <v>9203</v>
      </c>
      <c r="BZ43" s="17">
        <v>60864</v>
      </c>
      <c r="CA43" s="18">
        <f t="shared" si="295"/>
        <v>561.34955992611106</v>
      </c>
    </row>
    <row r="44" spans="1:79" s="1" customFormat="1" ht="19.5" customHeight="1" thickBot="1">
      <c r="A44" s="136"/>
      <c r="B44" s="137"/>
      <c r="C44" s="35" t="s">
        <v>51</v>
      </c>
      <c r="D44" s="25">
        <f t="shared" ref="D44:L44" si="296">D43/D42</f>
        <v>0.67717676198309218</v>
      </c>
      <c r="E44" s="25">
        <f t="shared" si="296"/>
        <v>0.67775232582710587</v>
      </c>
      <c r="F44" s="25">
        <f t="shared" si="296"/>
        <v>5.0148886764103269</v>
      </c>
      <c r="G44" s="25">
        <f t="shared" si="296"/>
        <v>0.67549621444649066</v>
      </c>
      <c r="H44" s="26">
        <f>H43/H42</f>
        <v>2.1026499794347493</v>
      </c>
      <c r="I44" s="26">
        <f>I43/I42</f>
        <v>23</v>
      </c>
      <c r="J44" s="26">
        <f>J43/J42</f>
        <v>214.02325581395348</v>
      </c>
      <c r="K44" s="26" t="e">
        <f t="shared" si="296"/>
        <v>#DIV/0!</v>
      </c>
      <c r="L44" s="26" t="e">
        <f t="shared" si="296"/>
        <v>#DIV/0!</v>
      </c>
      <c r="M44" s="27"/>
      <c r="N44" s="26" t="e">
        <f>N43/N42</f>
        <v>#DIV/0!</v>
      </c>
      <c r="O44" s="26" t="e">
        <f>O43/O42</f>
        <v>#DIV/0!</v>
      </c>
      <c r="P44" s="27"/>
      <c r="Q44" s="26" t="e">
        <f>Q43/Q42</f>
        <v>#DIV/0!</v>
      </c>
      <c r="R44" s="26" t="e">
        <f>R43/R42</f>
        <v>#DIV/0!</v>
      </c>
      <c r="S44" s="27"/>
      <c r="T44" s="26" t="e">
        <f>T43/T42</f>
        <v>#DIV/0!</v>
      </c>
      <c r="U44" s="26" t="e">
        <f>U43/U42</f>
        <v>#DIV/0!</v>
      </c>
      <c r="V44" s="27"/>
      <c r="W44" s="26" t="e">
        <f>W43/W42</f>
        <v>#DIV/0!</v>
      </c>
      <c r="X44" s="26" t="e">
        <f>X43/X42</f>
        <v>#DIV/0!</v>
      </c>
      <c r="Y44" s="27"/>
      <c r="Z44" s="26" t="e">
        <f>Z43/Z42</f>
        <v>#DIV/0!</v>
      </c>
      <c r="AA44" s="26">
        <f>AA43/AA42</f>
        <v>29.75</v>
      </c>
      <c r="AB44" s="27"/>
      <c r="AC44" s="26" t="e">
        <f>AC43/AC42</f>
        <v>#DIV/0!</v>
      </c>
      <c r="AD44" s="26">
        <f>AD43/AD42</f>
        <v>29.75</v>
      </c>
      <c r="AE44" s="27"/>
      <c r="AF44" s="26" t="e">
        <f>AF43/AF42</f>
        <v>#DIV/0!</v>
      </c>
      <c r="AG44" s="26" t="e">
        <f>AG43/AG42</f>
        <v>#DIV/0!</v>
      </c>
      <c r="AH44" s="27"/>
      <c r="AI44" s="26" t="e">
        <f>AI43/AI42</f>
        <v>#DIV/0!</v>
      </c>
      <c r="AJ44" s="26">
        <f>AJ43/AJ42</f>
        <v>29.75</v>
      </c>
      <c r="AK44" s="27"/>
      <c r="AL44" s="26" t="e">
        <f>AL43/AL42</f>
        <v>#DIV/0!</v>
      </c>
      <c r="AM44" s="26">
        <f>AM43/AM42</f>
        <v>96</v>
      </c>
      <c r="AN44" s="27"/>
      <c r="AO44" s="26" t="e">
        <f>AO43/AO42</f>
        <v>#DIV/0!</v>
      </c>
      <c r="AP44" s="26">
        <f>AP43/AP42</f>
        <v>43</v>
      </c>
      <c r="AQ44" s="27"/>
      <c r="AR44" s="26" t="e">
        <f>AR43/AR42</f>
        <v>#DIV/0!</v>
      </c>
      <c r="AS44" s="26" t="e">
        <f>AS43/AS42</f>
        <v>#DIV/0!</v>
      </c>
      <c r="AT44" s="27"/>
      <c r="AU44" s="26" t="e">
        <f>AU43/AU42</f>
        <v>#DIV/0!</v>
      </c>
      <c r="AV44" s="26">
        <f>AV43/AV42</f>
        <v>43</v>
      </c>
      <c r="AW44" s="27"/>
      <c r="AX44" s="26" t="e">
        <f>AX43/AX42</f>
        <v>#DIV/0!</v>
      </c>
      <c r="AY44" s="26" t="e">
        <f>AY43/AY42</f>
        <v>#DIV/0!</v>
      </c>
      <c r="AZ44" s="27"/>
      <c r="BA44" s="26" t="e">
        <f>BA43/BA42</f>
        <v>#DIV/0!</v>
      </c>
      <c r="BB44" s="26">
        <f>BB43/BB42</f>
        <v>43</v>
      </c>
      <c r="BC44" s="27"/>
      <c r="BD44" s="26" t="e">
        <f>BD43/BD42</f>
        <v>#DIV/0!</v>
      </c>
      <c r="BE44" s="26" t="e">
        <f>BE43/BE42</f>
        <v>#DIV/0!</v>
      </c>
      <c r="BF44" s="27"/>
      <c r="BG44" s="26" t="e">
        <f>BG43/BG42</f>
        <v>#DIV/0!</v>
      </c>
      <c r="BH44" s="26">
        <f>BH43/BH42</f>
        <v>111.6</v>
      </c>
      <c r="BI44" s="27"/>
      <c r="BJ44" s="26">
        <f>BJ43/BJ42</f>
        <v>214.02325581395348</v>
      </c>
      <c r="BK44" s="26">
        <f>BK43/BK42</f>
        <v>0.47857142857142859</v>
      </c>
      <c r="BL44" s="27"/>
      <c r="BM44" s="26">
        <f>BM43/BM42</f>
        <v>214.02325581395348</v>
      </c>
      <c r="BN44" s="26">
        <f>BN43/BN42</f>
        <v>0.51824348446983215</v>
      </c>
      <c r="BO44" s="27"/>
      <c r="BP44" s="26" t="e">
        <f>BP43/BP42</f>
        <v>#DIV/0!</v>
      </c>
      <c r="BQ44" s="26">
        <f>BQ43/BQ42</f>
        <v>2.8957169459962757</v>
      </c>
      <c r="BR44" s="27"/>
      <c r="BS44" s="26">
        <f>BS43/BS42</f>
        <v>214.02325581395348</v>
      </c>
      <c r="BT44" s="26">
        <f>BT43/BT42</f>
        <v>0.60603768394993807</v>
      </c>
      <c r="BU44" s="27"/>
      <c r="BV44" s="26" t="e">
        <f>BV43/BV42</f>
        <v>#DIV/0!</v>
      </c>
      <c r="BW44" s="26">
        <f>BW43/BW42</f>
        <v>3.0440961459734486</v>
      </c>
      <c r="BX44" s="27"/>
      <c r="BY44" s="26">
        <f>BY43/BY42</f>
        <v>214.02325581395348</v>
      </c>
      <c r="BZ44" s="26">
        <f>BZ43/BZ42</f>
        <v>1.9235801649758224</v>
      </c>
      <c r="CA44" s="27"/>
    </row>
    <row r="45" spans="1:79" s="3" customFormat="1" ht="19.5" customHeight="1" thickTop="1">
      <c r="A45" s="127" t="s">
        <v>11</v>
      </c>
      <c r="B45" s="128"/>
      <c r="C45" s="5" t="s">
        <v>42</v>
      </c>
      <c r="D45" s="28">
        <f>D6+D9+D12+D15+D18+D21+D24+D27+D30+D33+D36+D39+D42</f>
        <v>203752993.89999998</v>
      </c>
      <c r="E45" s="28">
        <f t="shared" ref="E45:G46" si="297">E6+E9+E12+E15+E18+E21+E24+E27+E30+E33+E36+E39+E42</f>
        <v>185159614.5</v>
      </c>
      <c r="F45" s="28">
        <f t="shared" si="297"/>
        <v>337013419</v>
      </c>
      <c r="G45" s="28">
        <f t="shared" si="297"/>
        <v>294769229</v>
      </c>
      <c r="H45" s="28">
        <f t="shared" ref="H45:L46" si="298">H6+H9+H12+H15+H18+H21+H24+H27+H30+H33+H36+H39+H42</f>
        <v>273443821</v>
      </c>
      <c r="I45" s="28">
        <f>I6+I9+I12+I15+I18+I21+I24+I27+I30+I33+I36+I39+I42</f>
        <v>247269187</v>
      </c>
      <c r="J45" s="28">
        <f>J6+J9+J12+J15+J18+J21+J24+J27+J30+J33+J36+J39+J42</f>
        <v>206447650</v>
      </c>
      <c r="K45" s="28">
        <f t="shared" si="298"/>
        <v>8266490</v>
      </c>
      <c r="L45" s="28">
        <f t="shared" si="298"/>
        <v>1333977</v>
      </c>
      <c r="M45" s="15">
        <f t="shared" si="0"/>
        <v>-83.862836584814104</v>
      </c>
      <c r="N45" s="28">
        <f>N6+N9+N12+N15+N18+N21+N24+N27+N30+N33+N36+N39+N42</f>
        <v>16896543</v>
      </c>
      <c r="O45" s="28">
        <f>O6+O9+O12+O15+O18+O21+O24+O27+O30+O33+O36+O39+O42</f>
        <v>40324870</v>
      </c>
      <c r="P45" s="15">
        <f t="shared" si="1"/>
        <v>138.65751710275882</v>
      </c>
      <c r="Q45" s="28">
        <f>Q6+Q9+Q12+Q15+Q18+Q21+Q24+Q27+Q30+Q33+Q36+Q39+Q42</f>
        <v>25163033</v>
      </c>
      <c r="R45" s="28">
        <f>R6+R9+R12+R15+R18+R21+R24+R27+R30+R33+R36+R39+R42</f>
        <v>41658847</v>
      </c>
      <c r="S45" s="15">
        <f t="shared" si="2"/>
        <v>65.555746002479111</v>
      </c>
      <c r="T45" s="28">
        <f>T6+T9+T12+T15+T18+T21+T24+T27+T30+T33+T36+T39+T42</f>
        <v>18732042</v>
      </c>
      <c r="U45" s="28">
        <f>U6+U9+U12+U15+U18+U21+U24+U27+U30+U33+U36+U39+U42</f>
        <v>1794720</v>
      </c>
      <c r="V45" s="15">
        <f t="shared" ref="V45:V46" si="299">(U45/T45-1)*100</f>
        <v>-90.418983685814922</v>
      </c>
      <c r="W45" s="28">
        <f>W6+W9+W12+W15+W18+W21+W24+W27+W30+W33+W36+W39+W42</f>
        <v>43895075</v>
      </c>
      <c r="X45" s="28">
        <f>X6+X9+X12+X15+X18+X21+X24+X27+X30+X33+X36+X39+X42</f>
        <v>43453567</v>
      </c>
      <c r="Y45" s="15">
        <f t="shared" ref="Y45:Y46" si="300">(X45/W45-1)*100</f>
        <v>-1.0058258244233564</v>
      </c>
      <c r="Z45" s="28">
        <f>Z6+Z9+Z12+Z15+Z18+Z21+Z24+Z27+Z30+Z33+Z36+Z39+Z42</f>
        <v>7703848</v>
      </c>
      <c r="AA45" s="28">
        <f>AA6+AA9+AA12+AA15+AA18+AA21+AA24+AA27+AA30+AA33+AA36+AA39+AA42</f>
        <v>13384575</v>
      </c>
      <c r="AB45" s="15">
        <f t="shared" ref="AB45:AB46" si="301">(AA45/Z45-1)*100</f>
        <v>73.738825065084356</v>
      </c>
      <c r="AC45" s="28">
        <f>AC6+AC9+AC12+AC15+AC18+AC21+AC24+AC27+AC30+AC33+AC36+AC39+AC42</f>
        <v>51598923</v>
      </c>
      <c r="AD45" s="28">
        <f>AD6+AD9+AD12+AD15+AD18+AD21+AD24+AD27+AD30+AD33+AD36+AD39+AD42</f>
        <v>56838142</v>
      </c>
      <c r="AE45" s="15">
        <f t="shared" ref="AE45:AE46" si="302">(AD45/AC45-1)*100</f>
        <v>10.153737123544214</v>
      </c>
      <c r="AF45" s="28">
        <f>AF6+AF9+AF12+AF15+AF18+AF21+AF24+AF27+AF30+AF33+AF36+AF39+AF42</f>
        <v>27080716</v>
      </c>
      <c r="AG45" s="28">
        <f>AG6+AG9+AG12+AG15+AG18+AG21+AG24+AG27+AG30+AG33+AG36+AG39+AG42</f>
        <v>7986931</v>
      </c>
      <c r="AH45" s="15">
        <f t="shared" ref="AH45:AH46" si="303">(AG45/AF45-1)*100</f>
        <v>-70.506943021742856</v>
      </c>
      <c r="AI45" s="28">
        <f>AI6+AI9+AI12+AI15+AI18+AI21+AI24+AI27+AI30+AI33+AI36+AI39+AI42</f>
        <v>78679639</v>
      </c>
      <c r="AJ45" s="28">
        <f>AJ6+AJ9+AJ12+AJ15+AJ18+AJ21+AJ24+AJ27+AJ30+AJ33+AJ36+AJ39+AJ42</f>
        <v>64825073</v>
      </c>
      <c r="AK45" s="15">
        <f t="shared" ref="AK45:AK46" si="304">(AJ45/AI45-1)*100</f>
        <v>-17.608832699397613</v>
      </c>
      <c r="AL45" s="28">
        <f>AL6+AL9+AL12+AL15+AL18+AL21+AL24+AL27+AL30+AL33+AL36+AL39+AL42</f>
        <v>20355294</v>
      </c>
      <c r="AM45" s="28">
        <f>AM6+AM9+AM12+AM15+AM18+AM21+AM24+AM27+AM30+AM33+AM36+AM39+AM42</f>
        <v>18400349</v>
      </c>
      <c r="AN45" s="15">
        <f t="shared" ref="AN45:AN46" si="305">(AM45/AL45-1)*100</f>
        <v>-9.6041108519483878</v>
      </c>
      <c r="AO45" s="28">
        <f>AO6+AO9+AO12+AO15+AO18+AO21+AO24+AO27+AO30+AO33+AO36+AO39+AO42</f>
        <v>99034933</v>
      </c>
      <c r="AP45" s="28">
        <f>AP6+AP9+AP12+AP15+AP18+AP21+AP24+AP27+AP30+AP33+AP36+AP39+AP42</f>
        <v>83225422</v>
      </c>
      <c r="AQ45" s="15">
        <f t="shared" ref="AQ45:AQ46" si="306">(AP45/AO45-1)*100</f>
        <v>-15.963570147515526</v>
      </c>
      <c r="AR45" s="28">
        <f>AR6+AR9+AR12+AR15+AR18+AR21+AR24+AR27+AR30+AR33+AR36+AR39+AR42</f>
        <v>9122918</v>
      </c>
      <c r="AS45" s="28">
        <f>AS6+AS9+AS12+AS15+AS18+AS21+AS24+AS27+AS30+AS33+AS36+AS39+AS42</f>
        <v>18387457</v>
      </c>
      <c r="AT45" s="15">
        <f t="shared" ref="AT45:AT46" si="307">(AS45/AR45-1)*100</f>
        <v>101.55236515334241</v>
      </c>
      <c r="AU45" s="28">
        <f>AU6+AU9+AU12+AU15+AU18+AU21+AU24+AU27+AU30+AU33+AU36+AU39+AU42</f>
        <v>108157851</v>
      </c>
      <c r="AV45" s="28">
        <f>AV6+AV9+AV12+AV15+AV18+AV21+AV24+AV27+AV30+AV33+AV36+AV39+AV42</f>
        <v>101612879</v>
      </c>
      <c r="AW45" s="15">
        <f t="shared" ref="AW45:AW46" si="308">(AV45/AU45-1)*100</f>
        <v>-6.0513147584635334</v>
      </c>
      <c r="AX45" s="28">
        <f>AX6+AX9+AX12+AX15+AX18+AX21+AX24+AX27+AX30+AX33+AX36+AX39+AX42</f>
        <v>2916683</v>
      </c>
      <c r="AY45" s="28">
        <f>AY6+AY9+AY12+AY15+AY18+AY21+AY24+AY27+AY30+AY33+AY36+AY39+AY42</f>
        <v>22490433</v>
      </c>
      <c r="AZ45" s="15">
        <f t="shared" ref="AZ45:AZ46" si="309">(AY45/AX45-1)*100</f>
        <v>671.09624186104554</v>
      </c>
      <c r="BA45" s="28">
        <f>BA6+BA9+BA12+BA15+BA18+BA21+BA24+BA27+BA30+BA33+BA36+BA39+BA42</f>
        <v>111074534</v>
      </c>
      <c r="BB45" s="28">
        <f>BB6+BB9+BB12+BB15+BB18+BB21+BB24+BB27+BB30+BB33+BB36+BB39+BB42</f>
        <v>124103312</v>
      </c>
      <c r="BC45" s="15">
        <f t="shared" ref="BC45:BC46" si="310">(BB45/BA45-1)*100</f>
        <v>11.729761567129326</v>
      </c>
      <c r="BD45" s="28">
        <f>BD6+BD9+BD12+BD15+BD18+BD21+BD24+BD27+BD30+BD33+BD36+BD39+BD42</f>
        <v>13028367</v>
      </c>
      <c r="BE45" s="28">
        <f>BE6+BE9+BE12+BE15+BE18+BE21+BE24+BE27+BE30+BE33+BE36+BE39+BE42</f>
        <v>42940652</v>
      </c>
      <c r="BF45" s="15">
        <f t="shared" ref="BF45:BF46" si="311">(BE45/BD45-1)*100</f>
        <v>229.5935093016646</v>
      </c>
      <c r="BG45" s="28">
        <f>BG6+BG9+BG12+BG15+BG18+BG21+BG24+BG27+BG30+BG33+BG36+BG39+BG42</f>
        <v>124102901</v>
      </c>
      <c r="BH45" s="28">
        <f>BH6+BH9+BH12+BH15+BH18+BH21+BH24+BH27+BH30+BH33+BH36+BH39+BH42</f>
        <v>167043964</v>
      </c>
      <c r="BI45" s="15">
        <f t="shared" ref="BI45:BI46" si="312">(BH45/BG45-1)*100</f>
        <v>34.601175841973266</v>
      </c>
      <c r="BJ45" s="28">
        <f>BJ6+BJ9+BJ12+BJ15+BJ18+BJ21+BJ24+BJ27+BJ30+BJ33+BJ36+BJ39+BJ42</f>
        <v>18902277</v>
      </c>
      <c r="BK45" s="28">
        <f>BK6+BK9+BK12+BK15+BK18+BK21+BK24+BK27+BK30+BK33+BK36+BK39+BK42</f>
        <v>23842215</v>
      </c>
      <c r="BL45" s="15">
        <f t="shared" ref="BL45:BL46" si="313">(BK45/BJ45-1)*100</f>
        <v>26.134089559686391</v>
      </c>
      <c r="BM45" s="28">
        <f>BM6+BM9+BM12+BM15+BM18+BM21+BM24+BM27+BM30+BM33+BM36+BM39+BM42</f>
        <v>143005178</v>
      </c>
      <c r="BN45" s="28">
        <f>BN6+BN9+BN12+BN15+BN18+BN21+BN24+BN27+BN30+BN33+BN36+BN39+BN42</f>
        <v>190886179</v>
      </c>
      <c r="BO45" s="15">
        <f t="shared" ref="BO45:BO46" si="314">(BN45/BM45-1)*100</f>
        <v>33.482005106136789</v>
      </c>
      <c r="BP45" s="28">
        <f>BP6+BP9+BP12+BP15+BP18+BP21+BP24+BP27+BP30+BP33+BP36+BP39+BP42</f>
        <v>25325304</v>
      </c>
      <c r="BQ45" s="28">
        <f>BQ6+BQ9+BQ12+BQ15+BQ18+BQ21+BQ24+BQ27+BQ30+BQ33+BQ36+BQ39+BQ42</f>
        <v>13820957</v>
      </c>
      <c r="BR45" s="15">
        <f t="shared" ref="BR45:BR46" si="315">(BQ45/BP45-1)*100</f>
        <v>-45.426293796907636</v>
      </c>
      <c r="BS45" s="28">
        <f>BS6+BS9+BS12+BS15+BS18+BS21+BS24+BS27+BS30+BS33+BS36+BS39+BS42</f>
        <v>168330482</v>
      </c>
      <c r="BT45" s="28">
        <f>BT6+BT9+BT12+BT15+BT18+BT21+BT24+BT27+BT30+BT33+BT36+BT39+BT42</f>
        <v>204707136</v>
      </c>
      <c r="BU45" s="15">
        <f t="shared" ref="BU45:BU46" si="316">(BT45/BS45-1)*100</f>
        <v>21.61025951318787</v>
      </c>
      <c r="BV45" s="28">
        <f>BV6+BV9+BV12+BV15+BV18+BV21+BV24+BV27+BV30+BV33+BV36+BV39+BV42</f>
        <v>38117168</v>
      </c>
      <c r="BW45" s="28">
        <f>BW6+BW9+BW12+BW15+BW18+BW21+BW24+BW27+BW30+BW33+BW36+BW39+BW42</f>
        <v>40447980</v>
      </c>
      <c r="BX45" s="15">
        <f t="shared" ref="BX45:BX46" si="317">(BW45/BV45-1)*100</f>
        <v>6.1148614188756056</v>
      </c>
      <c r="BY45" s="28">
        <f>BY6+BY9+BY12+BY15+BY18+BY21+BY24+BY27+BY30+BY33+BY36+BY39+BY42</f>
        <v>206447650</v>
      </c>
      <c r="BZ45" s="28">
        <f>BZ6+BZ9+BZ12+BZ15+BZ18+BZ21+BZ24+BZ27+BZ30+BZ33+BZ36+BZ39+BZ42</f>
        <v>245155116</v>
      </c>
      <c r="CA45" s="15">
        <f t="shared" ref="CA45:CA46" si="318">(BZ45/BY45-1)*100</f>
        <v>18.749288742206559</v>
      </c>
    </row>
    <row r="46" spans="1:79" s="3" customFormat="1" ht="19.5" customHeight="1">
      <c r="A46" s="129"/>
      <c r="B46" s="130"/>
      <c r="C46" s="4" t="s">
        <v>50</v>
      </c>
      <c r="D46" s="29">
        <f>D7+D10+D13+D16+D19+D22+D25+D28+D31+D34+D37+D40+D43</f>
        <v>46702195</v>
      </c>
      <c r="E46" s="29">
        <f t="shared" si="297"/>
        <v>116666871</v>
      </c>
      <c r="F46" s="29">
        <f t="shared" si="297"/>
        <v>145979352</v>
      </c>
      <c r="G46" s="29">
        <f t="shared" si="297"/>
        <v>113378499</v>
      </c>
      <c r="H46" s="29">
        <f t="shared" si="298"/>
        <v>92514434</v>
      </c>
      <c r="I46" s="29">
        <f>I7+I10+I13+I16+I19+I22+I25+I28+I31+I34+I37+I40+I43</f>
        <v>114361797</v>
      </c>
      <c r="J46" s="29">
        <f>J7+J10+J13+J16+J19+J22+J25+J28+J31+J34+J37+J40+J43</f>
        <v>135468236</v>
      </c>
      <c r="K46" s="29">
        <f t="shared" si="298"/>
        <v>12426761</v>
      </c>
      <c r="L46" s="29">
        <f t="shared" si="298"/>
        <v>1674953</v>
      </c>
      <c r="M46" s="18">
        <f t="shared" si="0"/>
        <v>-86.521403284411761</v>
      </c>
      <c r="N46" s="29">
        <f>N7+N10+N13+N16+N19+N22+N25+N28+N31+N34+N37+N40+N43</f>
        <v>5046681</v>
      </c>
      <c r="O46" s="29">
        <f>O7+O10+O13+O16+O19+O22+O25+O28+O31+O34+O37+O40+O43</f>
        <v>14906151</v>
      </c>
      <c r="P46" s="18">
        <f t="shared" si="1"/>
        <v>195.36542927916386</v>
      </c>
      <c r="Q46" s="29">
        <f>Q7+Q10+Q13+Q16+Q19+Q22+Q25+Q28+Q31+Q34+Q37+Q40+Q43</f>
        <v>17473442</v>
      </c>
      <c r="R46" s="29">
        <f>R7+R10+R13+R16+R19+R22+R25+R28+R31+R34+R37+R40+R43</f>
        <v>16581104</v>
      </c>
      <c r="S46" s="18">
        <f t="shared" si="2"/>
        <v>-5.1068244024274119</v>
      </c>
      <c r="T46" s="29">
        <f>T7+T10+T13+T16+T19+T22+T25+T28+T31+T34+T37+T40+T43</f>
        <v>5167311</v>
      </c>
      <c r="U46" s="29">
        <f>U7+U10+U13+U16+U19+U22+U25+U28+U31+U34+U37+U40+U43</f>
        <v>1954794</v>
      </c>
      <c r="V46" s="18">
        <f t="shared" si="299"/>
        <v>-62.169995187051839</v>
      </c>
      <c r="W46" s="29">
        <f>W7+W10+W13+W16+W19+W22+W25+W28+W31+W34+W37+W40+W43</f>
        <v>22640753</v>
      </c>
      <c r="X46" s="29">
        <f>X7+X10+X13+X16+X19+X22+X25+X28+X31+X34+X37+X40+X43</f>
        <v>18535898</v>
      </c>
      <c r="Y46" s="18">
        <f t="shared" si="300"/>
        <v>-18.130381970953003</v>
      </c>
      <c r="Z46" s="29">
        <f>Z7+Z10+Z13+Z16+Z19+Z22+Z25+Z28+Z31+Z34+Z37+Z40+Z43</f>
        <v>5248593</v>
      </c>
      <c r="AA46" s="29">
        <f>AA7+AA10+AA13+AA16+AA19+AA22+AA25+AA28+AA31+AA34+AA37+AA40+AA43</f>
        <v>2270761</v>
      </c>
      <c r="AB46" s="18">
        <f t="shared" si="301"/>
        <v>-56.735814722155055</v>
      </c>
      <c r="AC46" s="29">
        <f>AC7+AC10+AC13+AC16+AC19+AC22+AC25+AC28+AC31+AC34+AC37+AC40+AC43</f>
        <v>27889346</v>
      </c>
      <c r="AD46" s="29">
        <f>AD7+AD10+AD13+AD16+AD19+AD22+AD25+AD28+AD31+AD34+AD37+AD40+AD43</f>
        <v>20806659</v>
      </c>
      <c r="AE46" s="18">
        <f t="shared" si="302"/>
        <v>-25.395672598418052</v>
      </c>
      <c r="AF46" s="29">
        <f>AF7+AF10+AF13+AF16+AF19+AF22+AF25+AF28+AF31+AF34+AF37+AF40+AF43</f>
        <v>30505092</v>
      </c>
      <c r="AG46" s="29">
        <f>AG7+AG10+AG13+AG16+AG19+AG22+AG25+AG28+AG31+AG34+AG37+AG40+AG43</f>
        <v>2262567</v>
      </c>
      <c r="AH46" s="18">
        <f t="shared" si="303"/>
        <v>-92.582985817580891</v>
      </c>
      <c r="AI46" s="29">
        <f>AI7+AI10+AI13+AI16+AI19+AI22+AI25+AI28+AI31+AI34+AI37+AI40+AI43</f>
        <v>58394438</v>
      </c>
      <c r="AJ46" s="29">
        <f>AJ7+AJ10+AJ13+AJ16+AJ19+AJ22+AJ25+AJ28+AJ31+AJ34+AJ37+AJ40+AJ43</f>
        <v>23069226</v>
      </c>
      <c r="AK46" s="18">
        <f t="shared" si="304"/>
        <v>-60.494138157473152</v>
      </c>
      <c r="AL46" s="29">
        <f>AL7+AL10+AL13+AL16+AL19+AL22+AL25+AL28+AL31+AL34+AL37+AL40+AL43</f>
        <v>28627519</v>
      </c>
      <c r="AM46" s="29">
        <f>AM7+AM10+AM13+AM16+AM19+AM22+AM25+AM28+AM31+AM34+AM37+AM40+AM43</f>
        <v>3004183</v>
      </c>
      <c r="AN46" s="18">
        <f t="shared" si="305"/>
        <v>-89.505961030014518</v>
      </c>
      <c r="AO46" s="29">
        <f>AO7+AO10+AO13+AO16+AO19+AO22+AO25+AO28+AO31+AO34+AO37+AO40+AO43</f>
        <v>87021957</v>
      </c>
      <c r="AP46" s="29">
        <f>AP7+AP10+AP13+AP16+AP19+AP22+AP25+AP28+AP31+AP34+AP37+AP40+AP43</f>
        <v>26073409</v>
      </c>
      <c r="AQ46" s="18">
        <f t="shared" si="306"/>
        <v>-70.038126124881344</v>
      </c>
      <c r="AR46" s="29">
        <f>AR7+AR10+AR13+AR16+AR19+AR22+AR25+AR28+AR31+AR34+AR37+AR40+AR43</f>
        <v>3704110</v>
      </c>
      <c r="AS46" s="29">
        <f>AS7+AS10+AS13+AS16+AS19+AS22+AS25+AS28+AS31+AS34+AS37+AS40+AS43</f>
        <v>2931713</v>
      </c>
      <c r="AT46" s="18">
        <f t="shared" si="307"/>
        <v>-20.852431488265733</v>
      </c>
      <c r="AU46" s="29">
        <f>AU7+AU10+AU13+AU16+AU19+AU22+AU25+AU28+AU31+AU34+AU37+AU40+AU43</f>
        <v>90726067</v>
      </c>
      <c r="AV46" s="29">
        <f>AV7+AV10+AV13+AV16+AV19+AV22+AV25+AV28+AV31+AV34+AV37+AV40+AV43</f>
        <v>29005122</v>
      </c>
      <c r="AW46" s="18">
        <f t="shared" si="308"/>
        <v>-68.030001785484657</v>
      </c>
      <c r="AX46" s="29">
        <f>AX7+AX10+AX13+AX16+AX19+AX22+AX25+AX28+AX31+AX34+AX37+AX40+AX43</f>
        <v>2766528</v>
      </c>
      <c r="AY46" s="29">
        <f>AY7+AY10+AY13+AY16+AY19+AY22+AY25+AY28+AY31+AY34+AY37+AY40+AY43</f>
        <v>3793686</v>
      </c>
      <c r="AZ46" s="18">
        <f t="shared" si="309"/>
        <v>37.128053647026164</v>
      </c>
      <c r="BA46" s="29">
        <f>BA7+BA10+BA13+BA16+BA19+BA22+BA25+BA28+BA31+BA34+BA37+BA40+BA43</f>
        <v>93492595</v>
      </c>
      <c r="BB46" s="29">
        <f>BB7+BB10+BB13+BB16+BB19+BB22+BB25+BB28+BB31+BB34+BB37+BB40+BB43</f>
        <v>32798808</v>
      </c>
      <c r="BC46" s="18">
        <f t="shared" si="310"/>
        <v>-64.918282565587148</v>
      </c>
      <c r="BD46" s="29">
        <f>BD7+BD10+BD13+BD16+BD19+BD22+BD25+BD28+BD31+BD34+BD37+BD40+BD43</f>
        <v>3446752</v>
      </c>
      <c r="BE46" s="29">
        <f>BE7+BE10+BE13+BE16+BE19+BE22+BE25+BE28+BE31+BE34+BE37+BE40+BE43</f>
        <v>29323279</v>
      </c>
      <c r="BF46" s="18">
        <f t="shared" si="311"/>
        <v>750.75105490618409</v>
      </c>
      <c r="BG46" s="29">
        <f>BG7+BG10+BG13+BG16+BG19+BG22+BG25+BG28+BG31+BG34+BG37+BG40+BG43</f>
        <v>96939347</v>
      </c>
      <c r="BH46" s="29">
        <f>BH7+BH10+BH13+BH16+BH19+BH22+BH25+BH28+BH31+BH34+BH37+BH40+BH43</f>
        <v>62122087</v>
      </c>
      <c r="BI46" s="18">
        <f t="shared" si="312"/>
        <v>-35.916540679812911</v>
      </c>
      <c r="BJ46" s="29">
        <f>BJ7+BJ10+BJ13+BJ16+BJ19+BJ22+BJ25+BJ28+BJ31+BJ34+BJ37+BJ40+BJ43</f>
        <v>3447446</v>
      </c>
      <c r="BK46" s="29">
        <f>BK7+BK10+BK13+BK16+BK19+BK22+BK25+BK28+BK31+BK34+BK37+BK40+BK43</f>
        <v>3570602</v>
      </c>
      <c r="BL46" s="18">
        <f t="shared" si="313"/>
        <v>3.5723837298684336</v>
      </c>
      <c r="BM46" s="29">
        <f>BM7+BM10+BM13+BM16+BM19+BM22+BM25+BM28+BM31+BM34+BM37+BM40+BM43</f>
        <v>100386793</v>
      </c>
      <c r="BN46" s="29">
        <f>BN7+BN10+BN13+BN16+BN19+BN22+BN25+BN28+BN31+BN34+BN37+BN40+BN43</f>
        <v>65692689</v>
      </c>
      <c r="BO46" s="18">
        <f t="shared" si="314"/>
        <v>-34.560426688797598</v>
      </c>
      <c r="BP46" s="29">
        <f>BP7+BP10+BP13+BP16+BP19+BP22+BP25+BP28+BP31+BP34+BP37+BP40+BP43</f>
        <v>23113531</v>
      </c>
      <c r="BQ46" s="29">
        <f>BQ7+BQ10+BQ13+BQ16+BQ19+BQ22+BQ25+BQ28+BQ31+BQ34+BQ37+BQ40+BQ43</f>
        <v>4282919</v>
      </c>
      <c r="BR46" s="18">
        <f t="shared" si="315"/>
        <v>-81.470079149741338</v>
      </c>
      <c r="BS46" s="29">
        <f>BS7+BS10+BS13+BS16+BS19+BS22+BS25+BS28+BS31+BS34+BS37+BS40+BS43</f>
        <v>123500324</v>
      </c>
      <c r="BT46" s="29">
        <f>BT7+BT10+BT13+BT16+BT19+BT22+BT25+BT28+BT31+BT34+BT37+BT40+BT43</f>
        <v>69975608</v>
      </c>
      <c r="BU46" s="18">
        <f t="shared" si="316"/>
        <v>-43.339737311134506</v>
      </c>
      <c r="BV46" s="29">
        <f>BV7+BV10+BV13+BV16+BV19+BV22+BV25+BV28+BV31+BV34+BV37+BV40+BV43</f>
        <v>11967912</v>
      </c>
      <c r="BW46" s="29">
        <f>BW7+BW10+BW13+BW16+BW19+BW22+BW25+BW28+BW31+BW34+BW37+BW40+BW43</f>
        <v>5654027</v>
      </c>
      <c r="BX46" s="18">
        <f t="shared" si="317"/>
        <v>-52.756779962954269</v>
      </c>
      <c r="BY46" s="29">
        <f>BY7+BY10+BY13+BY16+BY19+BY22+BY25+BY28+BY31+BY34+BY37+BY40+BY43</f>
        <v>135468236</v>
      </c>
      <c r="BZ46" s="29">
        <f>BZ7+BZ10+BZ13+BZ16+BZ19+BZ22+BZ25+BZ28+BZ31+BZ34+BZ37+BZ40+BZ43</f>
        <v>75629635</v>
      </c>
      <c r="CA46" s="18">
        <f t="shared" si="318"/>
        <v>-44.17168390677206</v>
      </c>
    </row>
    <row r="47" spans="1:79" s="3" customFormat="1" ht="19.5" customHeight="1">
      <c r="A47" s="131"/>
      <c r="B47" s="132"/>
      <c r="C47" s="13" t="s">
        <v>51</v>
      </c>
      <c r="D47" s="30">
        <f t="shared" ref="D47:L47" si="319">D46/D45</f>
        <v>0.22920985898700949</v>
      </c>
      <c r="E47" s="30">
        <f t="shared" si="319"/>
        <v>0.63008810703696949</v>
      </c>
      <c r="F47" s="30">
        <f t="shared" si="319"/>
        <v>0.43315590350424593</v>
      </c>
      <c r="G47" s="30">
        <f t="shared" si="319"/>
        <v>0.38463478492865344</v>
      </c>
      <c r="H47" s="30">
        <f>H46/H45</f>
        <v>0.33833068036304248</v>
      </c>
      <c r="I47" s="31">
        <f>I46/I45</f>
        <v>0.46249918312709137</v>
      </c>
      <c r="J47" s="30">
        <f>J46/J45</f>
        <v>0.65618686383690972</v>
      </c>
      <c r="K47" s="30">
        <f t="shared" si="319"/>
        <v>1.5032693440625948</v>
      </c>
      <c r="L47" s="30">
        <f t="shared" si="319"/>
        <v>1.2556086049459623</v>
      </c>
      <c r="M47" s="31"/>
      <c r="N47" s="30">
        <f>N46/N45</f>
        <v>0.29868127462522953</v>
      </c>
      <c r="O47" s="30">
        <f>O46/O45</f>
        <v>0.36965155746317346</v>
      </c>
      <c r="P47" s="31"/>
      <c r="Q47" s="30">
        <f>Q46/Q45</f>
        <v>0.69440921529610522</v>
      </c>
      <c r="R47" s="30">
        <f>R46/R45</f>
        <v>0.39802119343341402</v>
      </c>
      <c r="S47" s="31"/>
      <c r="T47" s="30">
        <f>T46/T45</f>
        <v>0.27585412204392878</v>
      </c>
      <c r="U47" s="30">
        <f>U46/U45</f>
        <v>1.0891916287777481</v>
      </c>
      <c r="V47" s="31"/>
      <c r="W47" s="30">
        <f>W46/W45</f>
        <v>0.51579255759330633</v>
      </c>
      <c r="X47" s="30">
        <f>X46/X45</f>
        <v>0.42656792709330399</v>
      </c>
      <c r="Y47" s="31"/>
      <c r="Z47" s="30">
        <f>Z46/Z45</f>
        <v>0.68129498401318411</v>
      </c>
      <c r="AA47" s="30">
        <f>AA46/AA45</f>
        <v>0.16965506936155986</v>
      </c>
      <c r="AB47" s="31"/>
      <c r="AC47" s="30">
        <f>AC46/AC45</f>
        <v>0.54050248296849146</v>
      </c>
      <c r="AD47" s="30">
        <f>AD46/AD45</f>
        <v>0.36606859879409853</v>
      </c>
      <c r="AE47" s="31"/>
      <c r="AF47" s="30">
        <f>AF46/AF45</f>
        <v>1.1264507186589896</v>
      </c>
      <c r="AG47" s="30">
        <f>AG46/AG45</f>
        <v>0.28328365425968999</v>
      </c>
      <c r="AH47" s="31"/>
      <c r="AI47" s="30">
        <f>AI46/AI45</f>
        <v>0.74217979063172879</v>
      </c>
      <c r="AJ47" s="30">
        <f>AJ46/AJ45</f>
        <v>0.35586887808055379</v>
      </c>
      <c r="AK47" s="31"/>
      <c r="AL47" s="30">
        <f>AL46/AL45</f>
        <v>1.4063918212136852</v>
      </c>
      <c r="AM47" s="30">
        <f>AM46/AM45</f>
        <v>0.16326771845468802</v>
      </c>
      <c r="AN47" s="31"/>
      <c r="AO47" s="30">
        <f>AO46/AO45</f>
        <v>0.87869960996489993</v>
      </c>
      <c r="AP47" s="30">
        <f>AP46/AP45</f>
        <v>0.31328659408900322</v>
      </c>
      <c r="AQ47" s="31"/>
      <c r="AR47" s="30">
        <f>AR46/AR45</f>
        <v>0.40602250288778219</v>
      </c>
      <c r="AS47" s="30">
        <f>AS46/AS45</f>
        <v>0.15944091670751426</v>
      </c>
      <c r="AT47" s="31"/>
      <c r="AU47" s="30">
        <f>AU46/AU45</f>
        <v>0.83883015575078312</v>
      </c>
      <c r="AV47" s="30">
        <f>AV46/AV45</f>
        <v>0.28544730043521355</v>
      </c>
      <c r="AW47" s="31"/>
      <c r="AX47" s="30">
        <f>AX46/AX45</f>
        <v>0.94851857401027129</v>
      </c>
      <c r="AY47" s="30">
        <f>AY46/AY45</f>
        <v>0.16867998939815876</v>
      </c>
      <c r="AZ47" s="31"/>
      <c r="BA47" s="30">
        <f>BA46/BA45</f>
        <v>0.84171044102692338</v>
      </c>
      <c r="BB47" s="30">
        <f>BB46/BB45</f>
        <v>0.26428632299515104</v>
      </c>
      <c r="BC47" s="31"/>
      <c r="BD47" s="30">
        <f>BD46/BD45</f>
        <v>0.26455748444912552</v>
      </c>
      <c r="BE47" s="30">
        <f>BE46/BE45</f>
        <v>0.68287922130292755</v>
      </c>
      <c r="BF47" s="31"/>
      <c r="BG47" s="30">
        <f>BG46/BG45</f>
        <v>0.78112071691216955</v>
      </c>
      <c r="BH47" s="30">
        <f>BH46/BH45</f>
        <v>0.37189064191508292</v>
      </c>
      <c r="BI47" s="31"/>
      <c r="BJ47" s="30">
        <f>BJ46/BJ45</f>
        <v>0.18238257750640308</v>
      </c>
      <c r="BK47" s="30">
        <f>BK46/BK45</f>
        <v>0.14975965949472395</v>
      </c>
      <c r="BL47" s="31"/>
      <c r="BM47" s="30">
        <f>BM46/BM45</f>
        <v>0.70198012690141887</v>
      </c>
      <c r="BN47" s="30">
        <f>BN46/BN45</f>
        <v>0.34414586401250141</v>
      </c>
      <c r="BO47" s="31"/>
      <c r="BP47" s="30">
        <f>BP46/BP45</f>
        <v>0.91266549060970803</v>
      </c>
      <c r="BQ47" s="30">
        <f>BQ46/BQ45</f>
        <v>0.30988584943864594</v>
      </c>
      <c r="BR47" s="31"/>
      <c r="BS47" s="30">
        <f>BS46/BS45</f>
        <v>0.73367771857268249</v>
      </c>
      <c r="BT47" s="30">
        <f>BT46/BT45</f>
        <v>0.34183277323561401</v>
      </c>
      <c r="BU47" s="31"/>
      <c r="BV47" s="30">
        <f>BV46/BV45</f>
        <v>0.31397694603124765</v>
      </c>
      <c r="BW47" s="30">
        <f>BW46/BW45</f>
        <v>0.13978515119914517</v>
      </c>
      <c r="BX47" s="31"/>
      <c r="BY47" s="30">
        <f>BY46/BY45</f>
        <v>0.65618686383690972</v>
      </c>
      <c r="BZ47" s="30">
        <f>BZ46/BZ45</f>
        <v>0.30849707007542115</v>
      </c>
      <c r="CA47" s="31"/>
    </row>
    <row r="53" spans="10:10">
      <c r="J53" s="6"/>
    </row>
    <row r="54" spans="10:10">
      <c r="J54" s="6"/>
    </row>
  </sheetData>
  <mergeCells count="60">
    <mergeCell ref="BV4:BX4"/>
    <mergeCell ref="BY4:CA4"/>
    <mergeCell ref="BP4:BR4"/>
    <mergeCell ref="BS4:BU4"/>
    <mergeCell ref="BJ4:BL4"/>
    <mergeCell ref="BM4:BO4"/>
    <mergeCell ref="A1:C2"/>
    <mergeCell ref="B3:C3"/>
    <mergeCell ref="A4:C5"/>
    <mergeCell ref="Z4:AB4"/>
    <mergeCell ref="AC4:AE4"/>
    <mergeCell ref="T4:V4"/>
    <mergeCell ref="W4:Y4"/>
    <mergeCell ref="Q4:S4"/>
    <mergeCell ref="N4:P4"/>
    <mergeCell ref="K4:M4"/>
    <mergeCell ref="D4:D5"/>
    <mergeCell ref="E4:E5"/>
    <mergeCell ref="F4:F5"/>
    <mergeCell ref="I4:I5"/>
    <mergeCell ref="H4:H5"/>
    <mergeCell ref="G4:G5"/>
    <mergeCell ref="A6:A8"/>
    <mergeCell ref="B6:B8"/>
    <mergeCell ref="A45:B47"/>
    <mergeCell ref="A36:A38"/>
    <mergeCell ref="B36:B38"/>
    <mergeCell ref="A39:A41"/>
    <mergeCell ref="B39:B41"/>
    <mergeCell ref="A42:A44"/>
    <mergeCell ref="B42:B44"/>
    <mergeCell ref="A15:A17"/>
    <mergeCell ref="B15:B17"/>
    <mergeCell ref="A12:A14"/>
    <mergeCell ref="B12:B14"/>
    <mergeCell ref="A9:A11"/>
    <mergeCell ref="B9:B11"/>
    <mergeCell ref="A33:A35"/>
    <mergeCell ref="B33:B35"/>
    <mergeCell ref="A18:A20"/>
    <mergeCell ref="B18:B20"/>
    <mergeCell ref="A21:A23"/>
    <mergeCell ref="B21:B23"/>
    <mergeCell ref="A24:A26"/>
    <mergeCell ref="A30:A32"/>
    <mergeCell ref="B30:B32"/>
    <mergeCell ref="A27:A29"/>
    <mergeCell ref="B27:B29"/>
    <mergeCell ref="B24:B26"/>
    <mergeCell ref="BD4:BF4"/>
    <mergeCell ref="BG4:BI4"/>
    <mergeCell ref="AF4:AH4"/>
    <mergeCell ref="AI4:AK4"/>
    <mergeCell ref="J4:J5"/>
    <mergeCell ref="AX4:AZ4"/>
    <mergeCell ref="BA4:BC4"/>
    <mergeCell ref="AR4:AT4"/>
    <mergeCell ref="AU4:AW4"/>
    <mergeCell ref="AL4:AN4"/>
    <mergeCell ref="AO4:AQ4"/>
  </mergeCells>
  <phoneticPr fontId="6" type="noConversion"/>
  <printOptions horizontalCentered="1"/>
  <pageMargins left="0.31496062992125984" right="0.31496062992125984" top="0.59055118110236227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55"/>
  <sheetViews>
    <sheetView zoomScaleNormal="100" workbookViewId="0">
      <pane xSplit="3" ySplit="5" topLeftCell="J6" activePane="bottomRight" state="frozen"/>
      <selection pane="topRight" activeCell="D1" sqref="D1"/>
      <selection pane="bottomLeft" activeCell="A6" sqref="A6"/>
      <selection pane="bottomRight" sqref="A1:C2"/>
    </sheetView>
  </sheetViews>
  <sheetFormatPr defaultRowHeight="16.5"/>
  <cols>
    <col min="1" max="1" width="11.75" bestFit="1" customWidth="1"/>
    <col min="2" max="3" width="8.625" customWidth="1"/>
    <col min="4" max="9" width="16" hidden="1" customWidth="1"/>
    <col min="10" max="10" width="16" customWidth="1"/>
    <col min="11" max="12" width="14.125" hidden="1" customWidth="1"/>
    <col min="13" max="13" width="9" hidden="1" customWidth="1"/>
    <col min="14" max="15" width="13.625" hidden="1" customWidth="1"/>
    <col min="16" max="16" width="9" hidden="1" customWidth="1"/>
    <col min="17" max="18" width="13.625" hidden="1" customWidth="1"/>
    <col min="19" max="19" width="9" hidden="1" customWidth="1"/>
    <col min="20" max="21" width="13.625" hidden="1" customWidth="1"/>
    <col min="22" max="22" width="9" hidden="1" customWidth="1"/>
    <col min="23" max="24" width="13.625" hidden="1" customWidth="1"/>
    <col min="25" max="25" width="9" hidden="1" customWidth="1"/>
    <col min="26" max="27" width="13.625" hidden="1" customWidth="1"/>
    <col min="28" max="28" width="9" hidden="1" customWidth="1"/>
    <col min="29" max="30" width="13.625" hidden="1" customWidth="1"/>
    <col min="31" max="31" width="9" hidden="1" customWidth="1"/>
    <col min="32" max="33" width="13.625" hidden="1" customWidth="1"/>
    <col min="34" max="34" width="9" hidden="1" customWidth="1"/>
    <col min="35" max="36" width="13.625" hidden="1" customWidth="1"/>
    <col min="37" max="37" width="9" hidden="1" customWidth="1"/>
    <col min="38" max="39" width="13.625" hidden="1" customWidth="1"/>
    <col min="40" max="40" width="9" hidden="1" customWidth="1"/>
    <col min="41" max="42" width="13.625" hidden="1" customWidth="1"/>
    <col min="43" max="43" width="9" hidden="1" customWidth="1"/>
    <col min="44" max="45" width="13.625" hidden="1" customWidth="1"/>
    <col min="46" max="46" width="9" hidden="1" customWidth="1"/>
    <col min="47" max="48" width="13.625" hidden="1" customWidth="1"/>
    <col min="49" max="49" width="9" hidden="1" customWidth="1"/>
    <col min="50" max="51" width="13.625" hidden="1" customWidth="1"/>
    <col min="52" max="52" width="9" hidden="1" customWidth="1"/>
    <col min="53" max="54" width="13.625" hidden="1" customWidth="1"/>
    <col min="55" max="55" width="9" hidden="1" customWidth="1"/>
    <col min="56" max="57" width="13.625" hidden="1" customWidth="1"/>
    <col min="58" max="58" width="9" hidden="1" customWidth="1"/>
    <col min="59" max="60" width="13.625" hidden="1" customWidth="1"/>
    <col min="61" max="61" width="9" hidden="1" customWidth="1"/>
    <col min="62" max="63" width="13.625" hidden="1" customWidth="1"/>
    <col min="64" max="64" width="9" hidden="1" customWidth="1"/>
    <col min="65" max="66" width="13.625" hidden="1" customWidth="1"/>
    <col min="67" max="67" width="9" hidden="1" customWidth="1"/>
    <col min="68" max="69" width="13.625" hidden="1" customWidth="1"/>
    <col min="70" max="70" width="9" hidden="1" customWidth="1"/>
    <col min="71" max="72" width="13.625" hidden="1" customWidth="1"/>
    <col min="73" max="73" width="9" hidden="1" customWidth="1"/>
    <col min="74" max="75" width="13.625" customWidth="1"/>
    <col min="76" max="76" width="9" customWidth="1"/>
    <col min="77" max="78" width="13.625" customWidth="1"/>
    <col min="79" max="79" width="9" customWidth="1"/>
  </cols>
  <sheetData>
    <row r="1" spans="1:79">
      <c r="A1" s="158" t="s">
        <v>45</v>
      </c>
      <c r="B1" s="159"/>
      <c r="C1" s="160"/>
    </row>
    <row r="2" spans="1:79" ht="17.25" thickBot="1">
      <c r="A2" s="161"/>
      <c r="B2" s="162"/>
      <c r="C2" s="163"/>
    </row>
    <row r="3" spans="1:79">
      <c r="B3" s="144" t="s">
        <v>24</v>
      </c>
      <c r="C3" s="144"/>
    </row>
    <row r="4" spans="1:79" s="3" customFormat="1">
      <c r="A4" s="146"/>
      <c r="B4" s="146"/>
      <c r="C4" s="147"/>
      <c r="D4" s="112" t="s">
        <v>0</v>
      </c>
      <c r="E4" s="112" t="s">
        <v>71</v>
      </c>
      <c r="F4" s="112" t="s">
        <v>55</v>
      </c>
      <c r="G4" s="112" t="s">
        <v>56</v>
      </c>
      <c r="H4" s="112" t="s">
        <v>57</v>
      </c>
      <c r="I4" s="112" t="s">
        <v>41</v>
      </c>
      <c r="J4" s="112" t="s">
        <v>43</v>
      </c>
      <c r="K4" s="109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186</v>
      </c>
      <c r="U4" s="110"/>
      <c r="V4" s="111"/>
      <c r="W4" s="109" t="s">
        <v>187</v>
      </c>
      <c r="X4" s="110"/>
      <c r="Y4" s="111"/>
      <c r="Z4" s="109" t="s">
        <v>192</v>
      </c>
      <c r="AA4" s="110"/>
      <c r="AB4" s="111"/>
      <c r="AC4" s="109" t="s">
        <v>193</v>
      </c>
      <c r="AD4" s="110"/>
      <c r="AE4" s="111"/>
      <c r="AF4" s="109" t="s">
        <v>196</v>
      </c>
      <c r="AG4" s="110"/>
      <c r="AH4" s="111"/>
      <c r="AI4" s="109" t="s">
        <v>197</v>
      </c>
      <c r="AJ4" s="110"/>
      <c r="AK4" s="111"/>
      <c r="AL4" s="109" t="s">
        <v>200</v>
      </c>
      <c r="AM4" s="110"/>
      <c r="AN4" s="111"/>
      <c r="AO4" s="109" t="s">
        <v>201</v>
      </c>
      <c r="AP4" s="110"/>
      <c r="AQ4" s="111"/>
      <c r="AR4" s="109" t="s">
        <v>204</v>
      </c>
      <c r="AS4" s="110"/>
      <c r="AT4" s="111"/>
      <c r="AU4" s="109" t="s">
        <v>205</v>
      </c>
      <c r="AV4" s="110"/>
      <c r="AW4" s="111"/>
      <c r="AX4" s="109" t="s">
        <v>208</v>
      </c>
      <c r="AY4" s="110"/>
      <c r="AZ4" s="111"/>
      <c r="BA4" s="109" t="s">
        <v>209</v>
      </c>
      <c r="BB4" s="110"/>
      <c r="BC4" s="111"/>
      <c r="BD4" s="109" t="s">
        <v>213</v>
      </c>
      <c r="BE4" s="110"/>
      <c r="BF4" s="111"/>
      <c r="BG4" s="109" t="s">
        <v>214</v>
      </c>
      <c r="BH4" s="110"/>
      <c r="BI4" s="111"/>
      <c r="BJ4" s="109" t="s">
        <v>217</v>
      </c>
      <c r="BK4" s="110"/>
      <c r="BL4" s="111"/>
      <c r="BM4" s="109" t="s">
        <v>218</v>
      </c>
      <c r="BN4" s="110"/>
      <c r="BO4" s="111"/>
      <c r="BP4" s="109" t="s">
        <v>221</v>
      </c>
      <c r="BQ4" s="110"/>
      <c r="BR4" s="111"/>
      <c r="BS4" s="109" t="s">
        <v>222</v>
      </c>
      <c r="BT4" s="110"/>
      <c r="BU4" s="111"/>
      <c r="BV4" s="109" t="s">
        <v>227</v>
      </c>
      <c r="BW4" s="110"/>
      <c r="BX4" s="111"/>
      <c r="BY4" s="109" t="s">
        <v>228</v>
      </c>
      <c r="BZ4" s="110"/>
      <c r="CA4" s="111"/>
    </row>
    <row r="5" spans="1:79" s="3" customFormat="1" ht="17.25" thickBot="1">
      <c r="A5" s="149"/>
      <c r="B5" s="149"/>
      <c r="C5" s="150"/>
      <c r="D5" s="113"/>
      <c r="E5" s="113"/>
      <c r="F5" s="113"/>
      <c r="G5" s="113"/>
      <c r="H5" s="113"/>
      <c r="I5" s="113"/>
      <c r="J5" s="113"/>
      <c r="K5" s="36" t="s">
        <v>181</v>
      </c>
      <c r="L5" s="36" t="s">
        <v>183</v>
      </c>
      <c r="M5" s="36" t="s">
        <v>5</v>
      </c>
      <c r="N5" s="36" t="s">
        <v>181</v>
      </c>
      <c r="O5" s="36" t="s">
        <v>183</v>
      </c>
      <c r="P5" s="36" t="s">
        <v>5</v>
      </c>
      <c r="Q5" s="36" t="s">
        <v>181</v>
      </c>
      <c r="R5" s="36" t="s">
        <v>183</v>
      </c>
      <c r="S5" s="36" t="s">
        <v>5</v>
      </c>
      <c r="T5" s="36" t="s">
        <v>181</v>
      </c>
      <c r="U5" s="36" t="s">
        <v>183</v>
      </c>
      <c r="V5" s="36" t="s">
        <v>5</v>
      </c>
      <c r="W5" s="36" t="s">
        <v>181</v>
      </c>
      <c r="X5" s="36" t="s">
        <v>183</v>
      </c>
      <c r="Y5" s="36" t="s">
        <v>5</v>
      </c>
      <c r="Z5" s="36" t="s">
        <v>181</v>
      </c>
      <c r="AA5" s="36" t="s">
        <v>183</v>
      </c>
      <c r="AB5" s="36" t="s">
        <v>5</v>
      </c>
      <c r="AC5" s="36" t="s">
        <v>181</v>
      </c>
      <c r="AD5" s="36" t="s">
        <v>183</v>
      </c>
      <c r="AE5" s="36" t="s">
        <v>5</v>
      </c>
      <c r="AF5" s="36" t="s">
        <v>54</v>
      </c>
      <c r="AG5" s="36" t="s">
        <v>183</v>
      </c>
      <c r="AH5" s="36" t="s">
        <v>5</v>
      </c>
      <c r="AI5" s="36" t="s">
        <v>54</v>
      </c>
      <c r="AJ5" s="36" t="s">
        <v>183</v>
      </c>
      <c r="AK5" s="36" t="s">
        <v>5</v>
      </c>
      <c r="AL5" s="36" t="s">
        <v>54</v>
      </c>
      <c r="AM5" s="36" t="s">
        <v>183</v>
      </c>
      <c r="AN5" s="36" t="s">
        <v>5</v>
      </c>
      <c r="AO5" s="36" t="s">
        <v>54</v>
      </c>
      <c r="AP5" s="36" t="s">
        <v>183</v>
      </c>
      <c r="AQ5" s="36" t="s">
        <v>5</v>
      </c>
      <c r="AR5" s="36" t="s">
        <v>54</v>
      </c>
      <c r="AS5" s="36" t="s">
        <v>183</v>
      </c>
      <c r="AT5" s="36" t="s">
        <v>5</v>
      </c>
      <c r="AU5" s="36" t="s">
        <v>54</v>
      </c>
      <c r="AV5" s="36" t="s">
        <v>183</v>
      </c>
      <c r="AW5" s="36" t="s">
        <v>5</v>
      </c>
      <c r="AX5" s="36" t="s">
        <v>54</v>
      </c>
      <c r="AY5" s="36" t="s">
        <v>183</v>
      </c>
      <c r="AZ5" s="36" t="s">
        <v>5</v>
      </c>
      <c r="BA5" s="36" t="s">
        <v>54</v>
      </c>
      <c r="BB5" s="36" t="s">
        <v>183</v>
      </c>
      <c r="BC5" s="36" t="s">
        <v>5</v>
      </c>
      <c r="BD5" s="36" t="s">
        <v>54</v>
      </c>
      <c r="BE5" s="36" t="s">
        <v>183</v>
      </c>
      <c r="BF5" s="36" t="s">
        <v>5</v>
      </c>
      <c r="BG5" s="36" t="s">
        <v>54</v>
      </c>
      <c r="BH5" s="36" t="s">
        <v>183</v>
      </c>
      <c r="BI5" s="36" t="s">
        <v>5</v>
      </c>
      <c r="BJ5" s="36" t="s">
        <v>54</v>
      </c>
      <c r="BK5" s="36" t="s">
        <v>183</v>
      </c>
      <c r="BL5" s="36" t="s">
        <v>5</v>
      </c>
      <c r="BM5" s="36" t="s">
        <v>54</v>
      </c>
      <c r="BN5" s="36" t="s">
        <v>183</v>
      </c>
      <c r="BO5" s="36" t="s">
        <v>5</v>
      </c>
      <c r="BP5" s="36" t="s">
        <v>54</v>
      </c>
      <c r="BQ5" s="36" t="s">
        <v>183</v>
      </c>
      <c r="BR5" s="36" t="s">
        <v>5</v>
      </c>
      <c r="BS5" s="36" t="s">
        <v>54</v>
      </c>
      <c r="BT5" s="36" t="s">
        <v>183</v>
      </c>
      <c r="BU5" s="36" t="s">
        <v>5</v>
      </c>
      <c r="BV5" s="36" t="s">
        <v>54</v>
      </c>
      <c r="BW5" s="36" t="s">
        <v>183</v>
      </c>
      <c r="BX5" s="36" t="s">
        <v>5</v>
      </c>
      <c r="BY5" s="36" t="s">
        <v>54</v>
      </c>
      <c r="BZ5" s="36" t="s">
        <v>183</v>
      </c>
      <c r="CA5" s="36" t="s">
        <v>5</v>
      </c>
    </row>
    <row r="6" spans="1:79" s="1" customFormat="1" ht="19.5" customHeight="1">
      <c r="A6" s="156" t="s">
        <v>58</v>
      </c>
      <c r="B6" s="125">
        <v>2603</v>
      </c>
      <c r="C6" s="32" t="s">
        <v>42</v>
      </c>
      <c r="D6" s="14">
        <v>1597262567</v>
      </c>
      <c r="E6" s="14">
        <v>1727805117</v>
      </c>
      <c r="F6" s="14">
        <v>1732402401</v>
      </c>
      <c r="G6" s="14">
        <v>1682614840</v>
      </c>
      <c r="H6" s="14">
        <v>1685652156</v>
      </c>
      <c r="I6" s="14">
        <v>1582100925</v>
      </c>
      <c r="J6" s="14">
        <v>1769482584</v>
      </c>
      <c r="K6" s="14">
        <v>142955066</v>
      </c>
      <c r="L6" s="14">
        <v>135652455</v>
      </c>
      <c r="M6" s="15">
        <f t="shared" ref="M6:M46" si="0">(L6/K6-1)*100</f>
        <v>-5.1083261365497901</v>
      </c>
      <c r="N6" s="16">
        <f>Q6-K6</f>
        <v>132947622</v>
      </c>
      <c r="O6" s="14">
        <f>R6-L6</f>
        <v>122491596</v>
      </c>
      <c r="P6" s="15">
        <f t="shared" ref="P6:P46" si="1">(O6/N6-1)*100</f>
        <v>-7.8647709847717291</v>
      </c>
      <c r="Q6" s="14">
        <v>275902688</v>
      </c>
      <c r="R6" s="14">
        <v>258144051</v>
      </c>
      <c r="S6" s="15">
        <f t="shared" ref="S6:S46" si="2">(R6/Q6-1)*100</f>
        <v>-6.4365581679291184</v>
      </c>
      <c r="T6" s="16">
        <f>W6-Q6</f>
        <v>122974990</v>
      </c>
      <c r="U6" s="14">
        <f>X6-R6</f>
        <v>156164864</v>
      </c>
      <c r="V6" s="15">
        <f t="shared" ref="V6:V7" si="3">(U6/T6-1)*100</f>
        <v>26.989125187162031</v>
      </c>
      <c r="W6" s="14">
        <v>398877678</v>
      </c>
      <c r="X6" s="14">
        <v>414308915</v>
      </c>
      <c r="Y6" s="15">
        <f t="shared" ref="Y6:Y7" si="4">(X6/W6-1)*100</f>
        <v>3.8686639667010914</v>
      </c>
      <c r="Z6" s="16">
        <f>AC6-W6</f>
        <v>136136683</v>
      </c>
      <c r="AA6" s="14">
        <f>AD6-X6</f>
        <v>140362434</v>
      </c>
      <c r="AB6" s="15">
        <f t="shared" ref="AB6:AB7" si="5">(AA6/Z6-1)*100</f>
        <v>3.1040502140044168</v>
      </c>
      <c r="AC6" s="14">
        <v>535014361</v>
      </c>
      <c r="AD6" s="14">
        <v>554671349</v>
      </c>
      <c r="AE6" s="15">
        <f t="shared" ref="AE6:AE7" si="6">(AD6/AC6-1)*100</f>
        <v>3.6741047405267624</v>
      </c>
      <c r="AF6" s="16">
        <f>AI6-AC6</f>
        <v>192980869</v>
      </c>
      <c r="AG6" s="14">
        <f>AJ6-AD6</f>
        <v>136582005</v>
      </c>
      <c r="AH6" s="15">
        <f t="shared" ref="AH6:AH7" si="7">(AG6/AF6-1)*100</f>
        <v>-29.225106246153342</v>
      </c>
      <c r="AI6" s="14">
        <v>727995230</v>
      </c>
      <c r="AJ6" s="14">
        <v>691253354</v>
      </c>
      <c r="AK6" s="15">
        <f t="shared" ref="AK6:AK7" si="8">(AJ6/AI6-1)*100</f>
        <v>-5.0469940579143664</v>
      </c>
      <c r="AL6" s="16">
        <f>AO6-AI6</f>
        <v>138971176</v>
      </c>
      <c r="AM6" s="14">
        <f>AP6-AJ6</f>
        <v>145286652</v>
      </c>
      <c r="AN6" s="15">
        <f t="shared" ref="AN6:AN7" si="9">(AM6/AL6-1)*100</f>
        <v>4.5444502822657329</v>
      </c>
      <c r="AO6" s="14">
        <v>866966406</v>
      </c>
      <c r="AP6" s="14">
        <v>836540006</v>
      </c>
      <c r="AQ6" s="15">
        <f t="shared" ref="AQ6:AQ7" si="10">(AP6/AO6-1)*100</f>
        <v>-3.5095246816287839</v>
      </c>
      <c r="AR6" s="16">
        <f>AU6-AO6</f>
        <v>166210103</v>
      </c>
      <c r="AS6" s="14">
        <f>AV6-AP6</f>
        <v>147896812</v>
      </c>
      <c r="AT6" s="15">
        <f t="shared" ref="AT6:AT7" si="11">(AS6/AR6-1)*100</f>
        <v>-11.018157542444939</v>
      </c>
      <c r="AU6" s="14">
        <v>1033176509</v>
      </c>
      <c r="AV6" s="14">
        <v>984436818</v>
      </c>
      <c r="AW6" s="15">
        <f t="shared" ref="AW6:AW7" si="12">(AV6/AU6-1)*100</f>
        <v>-4.7174602379582371</v>
      </c>
      <c r="AX6" s="16">
        <f>BA6-AU6</f>
        <v>140834547</v>
      </c>
      <c r="AY6" s="14">
        <f>BB6-AV6</f>
        <v>148694606</v>
      </c>
      <c r="AZ6" s="15">
        <f t="shared" ref="AZ6:AZ7" si="13">(AY6/AX6-1)*100</f>
        <v>5.5810588860700561</v>
      </c>
      <c r="BA6" s="14">
        <v>1174011056</v>
      </c>
      <c r="BB6" s="14">
        <v>1133131424</v>
      </c>
      <c r="BC6" s="15">
        <f t="shared" ref="BC6:BC7" si="14">(BB6/BA6-1)*100</f>
        <v>-3.4820482985298273</v>
      </c>
      <c r="BD6" s="16">
        <f>BG6-BA6</f>
        <v>135599728</v>
      </c>
      <c r="BE6" s="14">
        <f>BH6-BB6</f>
        <v>174049351</v>
      </c>
      <c r="BF6" s="15">
        <f t="shared" ref="BF6:BF7" si="15">(BE6/BD6-1)*100</f>
        <v>28.355236081299505</v>
      </c>
      <c r="BG6" s="14">
        <v>1309610784</v>
      </c>
      <c r="BH6" s="14">
        <v>1307180775</v>
      </c>
      <c r="BI6" s="15">
        <f t="shared" ref="BI6:BI7" si="16">(BH6/BG6-1)*100</f>
        <v>-0.18555199985280657</v>
      </c>
      <c r="BJ6" s="16">
        <f>BM6-BG6</f>
        <v>175141921</v>
      </c>
      <c r="BK6" s="14">
        <f>BN6-BH6</f>
        <v>60687732</v>
      </c>
      <c r="BL6" s="15">
        <f t="shared" ref="BL6:BL7" si="17">(BK6/BJ6-1)*100</f>
        <v>-65.349396847143183</v>
      </c>
      <c r="BM6" s="14">
        <v>1484752705</v>
      </c>
      <c r="BN6" s="14">
        <v>1367868507</v>
      </c>
      <c r="BO6" s="15">
        <f t="shared" ref="BO6:BO7" si="18">(BN6/BM6-1)*100</f>
        <v>-7.8723007276824575</v>
      </c>
      <c r="BP6" s="16">
        <f>BS6-BM6</f>
        <v>141052594</v>
      </c>
      <c r="BQ6" s="14">
        <f>BT6-BN6</f>
        <v>92289694</v>
      </c>
      <c r="BR6" s="15">
        <f t="shared" ref="BR6:BR7" si="19">(BQ6/BP6-1)*100</f>
        <v>-34.570721896826647</v>
      </c>
      <c r="BS6" s="14">
        <v>1625805299</v>
      </c>
      <c r="BT6" s="14">
        <v>1460158201</v>
      </c>
      <c r="BU6" s="15">
        <f t="shared" ref="BU6:BU7" si="20">(BT6/BS6-1)*100</f>
        <v>-10.188618409712792</v>
      </c>
      <c r="BV6" s="16">
        <f>BY6-BS6</f>
        <v>143677285</v>
      </c>
      <c r="BW6" s="14">
        <f>BZ6-BT6</f>
        <v>98409388</v>
      </c>
      <c r="BX6" s="15">
        <f t="shared" ref="BX6:BX7" si="21">(BW6/BV6-1)*100</f>
        <v>-31.506648389131243</v>
      </c>
      <c r="BY6" s="14">
        <v>1769482584</v>
      </c>
      <c r="BZ6" s="14">
        <v>1558567589</v>
      </c>
      <c r="CA6" s="15">
        <f t="shared" ref="CA6:CA7" si="22">(BZ6/BY6-1)*100</f>
        <v>-11.919585810402078</v>
      </c>
    </row>
    <row r="7" spans="1:79" s="1" customFormat="1" ht="19.5" customHeight="1">
      <c r="A7" s="152"/>
      <c r="B7" s="125"/>
      <c r="C7" s="33" t="s">
        <v>50</v>
      </c>
      <c r="D7" s="17">
        <v>3293513383</v>
      </c>
      <c r="E7" s="17">
        <v>4536877428</v>
      </c>
      <c r="F7" s="17">
        <v>5634034192</v>
      </c>
      <c r="G7" s="17">
        <v>4570946007</v>
      </c>
      <c r="H7" s="17">
        <v>3938599427</v>
      </c>
      <c r="I7" s="17">
        <v>3636123653</v>
      </c>
      <c r="J7" s="17">
        <v>3501226819</v>
      </c>
      <c r="K7" s="17">
        <v>299321629</v>
      </c>
      <c r="L7" s="17">
        <v>234574402</v>
      </c>
      <c r="M7" s="18">
        <f t="shared" si="0"/>
        <v>-21.631322539675203</v>
      </c>
      <c r="N7" s="14">
        <f>Q7-K7</f>
        <v>291658727</v>
      </c>
      <c r="O7" s="14">
        <f>R7-L7</f>
        <v>207401128</v>
      </c>
      <c r="P7" s="18">
        <f t="shared" si="1"/>
        <v>-28.889106068134218</v>
      </c>
      <c r="Q7" s="17">
        <v>590980356</v>
      </c>
      <c r="R7" s="17">
        <v>441975530</v>
      </c>
      <c r="S7" s="18">
        <f t="shared" si="2"/>
        <v>-25.213160553850965</v>
      </c>
      <c r="T7" s="14">
        <f>W7-Q7</f>
        <v>207756092</v>
      </c>
      <c r="U7" s="14">
        <f>X7-R7</f>
        <v>261886891</v>
      </c>
      <c r="V7" s="18">
        <f t="shared" si="3"/>
        <v>26.054975562401328</v>
      </c>
      <c r="W7" s="17">
        <v>798736448</v>
      </c>
      <c r="X7" s="17">
        <v>703862421</v>
      </c>
      <c r="Y7" s="18">
        <f t="shared" si="4"/>
        <v>-11.878013985409119</v>
      </c>
      <c r="Z7" s="14">
        <f>AC7-W7</f>
        <v>257719746</v>
      </c>
      <c r="AA7" s="14">
        <f>AD7-X7</f>
        <v>231472116</v>
      </c>
      <c r="AB7" s="18">
        <f t="shared" si="5"/>
        <v>-10.184563040815664</v>
      </c>
      <c r="AC7" s="17">
        <v>1056456194</v>
      </c>
      <c r="AD7" s="17">
        <v>935334537</v>
      </c>
      <c r="AE7" s="18">
        <f t="shared" si="6"/>
        <v>-11.464901023619722</v>
      </c>
      <c r="AF7" s="14">
        <f>AI7-AC7</f>
        <v>401865436</v>
      </c>
      <c r="AG7" s="14">
        <f>AJ7-AD7</f>
        <v>247328129</v>
      </c>
      <c r="AH7" s="18">
        <f t="shared" si="7"/>
        <v>-38.454988450412543</v>
      </c>
      <c r="AI7" s="17">
        <v>1458321630</v>
      </c>
      <c r="AJ7" s="17">
        <v>1182662666</v>
      </c>
      <c r="AK7" s="18">
        <f t="shared" si="8"/>
        <v>-18.902480655107613</v>
      </c>
      <c r="AL7" s="14">
        <f>AO7-AI7</f>
        <v>317360531</v>
      </c>
      <c r="AM7" s="14">
        <f>AP7-AJ7</f>
        <v>263415964</v>
      </c>
      <c r="AN7" s="18">
        <f t="shared" si="9"/>
        <v>-16.997881504048785</v>
      </c>
      <c r="AO7" s="17">
        <v>1775682161</v>
      </c>
      <c r="AP7" s="17">
        <v>1446078630</v>
      </c>
      <c r="AQ7" s="18">
        <f t="shared" si="10"/>
        <v>-18.56207930896705</v>
      </c>
      <c r="AR7" s="14">
        <f>AU7-AO7</f>
        <v>366339852</v>
      </c>
      <c r="AS7" s="14">
        <f>AV7-AP7</f>
        <v>270920136</v>
      </c>
      <c r="AT7" s="18">
        <f t="shared" si="11"/>
        <v>-26.046774730912979</v>
      </c>
      <c r="AU7" s="17">
        <v>2142022013</v>
      </c>
      <c r="AV7" s="17">
        <v>1716998766</v>
      </c>
      <c r="AW7" s="18">
        <f t="shared" si="12"/>
        <v>-19.84215122069336</v>
      </c>
      <c r="AX7" s="14">
        <f>BA7-AU7</f>
        <v>288375553</v>
      </c>
      <c r="AY7" s="14">
        <f>BB7-AV7</f>
        <v>252613497</v>
      </c>
      <c r="AZ7" s="18">
        <f t="shared" si="13"/>
        <v>-12.401209335522278</v>
      </c>
      <c r="BA7" s="17">
        <v>2430397566</v>
      </c>
      <c r="BB7" s="17">
        <v>1969612263</v>
      </c>
      <c r="BC7" s="18">
        <f t="shared" si="14"/>
        <v>-18.959256273382884</v>
      </c>
      <c r="BD7" s="14">
        <f>BG7-BA7</f>
        <v>275904107</v>
      </c>
      <c r="BE7" s="14">
        <f>BH7-BB7</f>
        <v>336062393</v>
      </c>
      <c r="BF7" s="18">
        <f t="shared" si="15"/>
        <v>21.80405600123958</v>
      </c>
      <c r="BG7" s="17">
        <v>2706301673</v>
      </c>
      <c r="BH7" s="17">
        <v>2305674656</v>
      </c>
      <c r="BI7" s="18">
        <f t="shared" si="16"/>
        <v>-14.803487024264205</v>
      </c>
      <c r="BJ7" s="14">
        <f>BM7-BG7</f>
        <v>351647575</v>
      </c>
      <c r="BK7" s="14">
        <f>BN7-BH7</f>
        <v>159060600</v>
      </c>
      <c r="BL7" s="18">
        <f t="shared" si="17"/>
        <v>-54.767041973771605</v>
      </c>
      <c r="BM7" s="17">
        <v>3057949248</v>
      </c>
      <c r="BN7" s="17">
        <v>2464735256</v>
      </c>
      <c r="BO7" s="18">
        <f t="shared" si="18"/>
        <v>-19.399079052341417</v>
      </c>
      <c r="BP7" s="14">
        <f>BS7-BM7</f>
        <v>225844883</v>
      </c>
      <c r="BQ7" s="14">
        <f>BT7-BN7</f>
        <v>171811887</v>
      </c>
      <c r="BR7" s="18">
        <f t="shared" si="19"/>
        <v>-23.924826315414016</v>
      </c>
      <c r="BS7" s="17">
        <v>3283794131</v>
      </c>
      <c r="BT7" s="17">
        <v>2636547143</v>
      </c>
      <c r="BU7" s="18">
        <f t="shared" si="20"/>
        <v>-19.710339996341265</v>
      </c>
      <c r="BV7" s="14">
        <f>BY7-BS7</f>
        <v>217432688</v>
      </c>
      <c r="BW7" s="14">
        <f>BZ7-BT7</f>
        <v>662990099</v>
      </c>
      <c r="BX7" s="18">
        <f t="shared" si="21"/>
        <v>204.91740000013246</v>
      </c>
      <c r="BY7" s="17">
        <v>3501226819</v>
      </c>
      <c r="BZ7" s="17">
        <v>3299537242</v>
      </c>
      <c r="CA7" s="18">
        <f t="shared" si="22"/>
        <v>-5.7605401599661432</v>
      </c>
    </row>
    <row r="8" spans="1:79" s="1" customFormat="1" ht="19.5" customHeight="1" thickBot="1">
      <c r="A8" s="153"/>
      <c r="B8" s="126"/>
      <c r="C8" s="41" t="s">
        <v>51</v>
      </c>
      <c r="D8" s="37">
        <f t="shared" ref="D8:L8" si="23">D7/D6</f>
        <v>2.061973686133471</v>
      </c>
      <c r="E8" s="37">
        <f t="shared" si="23"/>
        <v>2.6258039077216138</v>
      </c>
      <c r="F8" s="37">
        <f t="shared" si="23"/>
        <v>3.2521509949119496</v>
      </c>
      <c r="G8" s="37">
        <f t="shared" si="23"/>
        <v>2.7165729781629646</v>
      </c>
      <c r="H8" s="38">
        <f>H7/H6</f>
        <v>2.3365434042727853</v>
      </c>
      <c r="I8" s="38">
        <f>I7/I6</f>
        <v>2.2982880520090716</v>
      </c>
      <c r="J8" s="38">
        <f>J7/J6</f>
        <v>1.9786726643476249</v>
      </c>
      <c r="K8" s="38">
        <f t="shared" si="23"/>
        <v>2.0938161715793968</v>
      </c>
      <c r="L8" s="38">
        <f t="shared" si="23"/>
        <v>1.7292307905522242</v>
      </c>
      <c r="M8" s="21"/>
      <c r="N8" s="38">
        <f>N7/N6</f>
        <v>2.1937867154931134</v>
      </c>
      <c r="O8" s="38">
        <f>O7/O6</f>
        <v>1.6931865921642493</v>
      </c>
      <c r="P8" s="21"/>
      <c r="Q8" s="38">
        <f>Q7/Q6</f>
        <v>2.1419883955606842</v>
      </c>
      <c r="R8" s="38">
        <f>R7/R6</f>
        <v>1.7121275051192251</v>
      </c>
      <c r="S8" s="21"/>
      <c r="T8" s="38">
        <f>T7/T6</f>
        <v>1.6894174335773477</v>
      </c>
      <c r="U8" s="38">
        <f>U7/U6</f>
        <v>1.6769898445273836</v>
      </c>
      <c r="V8" s="21"/>
      <c r="W8" s="38">
        <f>W7/W6</f>
        <v>2.0024596312456473</v>
      </c>
      <c r="X8" s="38">
        <f>X7/X6</f>
        <v>1.6988831172025347</v>
      </c>
      <c r="Y8" s="21"/>
      <c r="Z8" s="38">
        <f>Z7/Z6</f>
        <v>1.8930955295862468</v>
      </c>
      <c r="AA8" s="38">
        <f>AA7/AA6</f>
        <v>1.6491030356455632</v>
      </c>
      <c r="AB8" s="21"/>
      <c r="AC8" s="38">
        <f>AC7/AC6</f>
        <v>1.9746314697522671</v>
      </c>
      <c r="AD8" s="38">
        <f>AD7/AD6</f>
        <v>1.6862860118632159</v>
      </c>
      <c r="AE8" s="21"/>
      <c r="AF8" s="38">
        <f>AF7/AF6</f>
        <v>2.0824107492230226</v>
      </c>
      <c r="AG8" s="38">
        <f>AG7/AG6</f>
        <v>1.8108397881551088</v>
      </c>
      <c r="AH8" s="21"/>
      <c r="AI8" s="38">
        <f>AI7/AI6</f>
        <v>2.0032021775747073</v>
      </c>
      <c r="AJ8" s="38">
        <f>AJ7/AJ6</f>
        <v>1.7108960978726766</v>
      </c>
      <c r="AK8" s="21"/>
      <c r="AL8" s="38">
        <f>AL7/AL6</f>
        <v>2.2836428397209505</v>
      </c>
      <c r="AM8" s="38">
        <f>AM7/AM6</f>
        <v>1.8130775289666665</v>
      </c>
      <c r="AN8" s="21"/>
      <c r="AO8" s="38">
        <f>AO7/AO6</f>
        <v>2.0481556709822502</v>
      </c>
      <c r="AP8" s="38">
        <f>AP7/AP6</f>
        <v>1.7286425271094565</v>
      </c>
      <c r="AQ8" s="21"/>
      <c r="AR8" s="38">
        <f>AR7/AR6</f>
        <v>2.2040769206430251</v>
      </c>
      <c r="AS8" s="38">
        <f>AS7/AS6</f>
        <v>1.8318186331156348</v>
      </c>
      <c r="AT8" s="21"/>
      <c r="AU8" s="38">
        <f>AU7/AU6</f>
        <v>2.0732391748562295</v>
      </c>
      <c r="AV8" s="38">
        <f>AV7/AV6</f>
        <v>1.7441431838035948</v>
      </c>
      <c r="AW8" s="21"/>
      <c r="AX8" s="38">
        <f>AX7/AX6</f>
        <v>2.0476194168466351</v>
      </c>
      <c r="AY8" s="38">
        <f>AY7/AY6</f>
        <v>1.6988746518485007</v>
      </c>
      <c r="AZ8" s="21"/>
      <c r="BA8" s="38">
        <f>BA7/BA6</f>
        <v>2.0701658247416028</v>
      </c>
      <c r="BB8" s="38">
        <f>BB7/BB6</f>
        <v>1.7382028432740737</v>
      </c>
      <c r="BC8" s="21"/>
      <c r="BD8" s="38">
        <f>BD7/BD6</f>
        <v>2.0346951359666443</v>
      </c>
      <c r="BE8" s="38">
        <f>BE7/BE6</f>
        <v>1.9308454244106892</v>
      </c>
      <c r="BF8" s="21"/>
      <c r="BG8" s="38">
        <f>BG7/BG6</f>
        <v>2.0664931184622866</v>
      </c>
      <c r="BH8" s="38">
        <f>BH7/BH6</f>
        <v>1.7638529422221652</v>
      </c>
      <c r="BI8" s="21"/>
      <c r="BJ8" s="38">
        <f>BJ7/BJ6</f>
        <v>2.0077864453707801</v>
      </c>
      <c r="BK8" s="38">
        <f>BK7/BK6</f>
        <v>2.6209679412636477</v>
      </c>
      <c r="BL8" s="21"/>
      <c r="BM8" s="38">
        <f>BM7/BM6</f>
        <v>2.0595680598541155</v>
      </c>
      <c r="BN8" s="38">
        <f>BN7/BN6</f>
        <v>1.8018802563161869</v>
      </c>
      <c r="BO8" s="21"/>
      <c r="BP8" s="38">
        <f>BP7/BP6</f>
        <v>1.6011395224677683</v>
      </c>
      <c r="BQ8" s="38">
        <f>BQ7/BQ6</f>
        <v>1.8616584317637894</v>
      </c>
      <c r="BR8" s="21"/>
      <c r="BS8" s="38">
        <f>BS7/BS6</f>
        <v>2.0197954410775973</v>
      </c>
      <c r="BT8" s="38">
        <f>BT7/BT6</f>
        <v>1.8056585520626063</v>
      </c>
      <c r="BU8" s="21"/>
      <c r="BV8" s="38">
        <f>BV7/BV6</f>
        <v>1.5133407344104532</v>
      </c>
      <c r="BW8" s="38">
        <f>BW7/BW6</f>
        <v>6.7370614986448247</v>
      </c>
      <c r="BX8" s="21"/>
      <c r="BY8" s="38">
        <f>BY7/BY6</f>
        <v>1.9786726643476249</v>
      </c>
      <c r="BZ8" s="38">
        <f>BZ7/BZ6</f>
        <v>2.117031860079313</v>
      </c>
      <c r="CA8" s="21"/>
    </row>
    <row r="9" spans="1:79" s="1" customFormat="1" ht="19.5" customHeight="1">
      <c r="A9" s="151" t="s">
        <v>59</v>
      </c>
      <c r="B9" s="133">
        <v>2604</v>
      </c>
      <c r="C9" s="32" t="s">
        <v>42</v>
      </c>
      <c r="D9" s="14">
        <v>1231712071</v>
      </c>
      <c r="E9" s="14">
        <v>1440522307</v>
      </c>
      <c r="F9" s="14">
        <v>1248169959</v>
      </c>
      <c r="G9" s="14">
        <v>1461773235</v>
      </c>
      <c r="H9" s="14">
        <v>1783831790</v>
      </c>
      <c r="I9" s="14">
        <v>1834892993</v>
      </c>
      <c r="J9" s="14">
        <v>2794052053</v>
      </c>
      <c r="K9" s="14">
        <v>54586015</v>
      </c>
      <c r="L9" s="14">
        <v>164741034</v>
      </c>
      <c r="M9" s="15">
        <f t="shared" si="0"/>
        <v>201.80080740460718</v>
      </c>
      <c r="N9" s="16">
        <f>Q9-K9</f>
        <v>167060443</v>
      </c>
      <c r="O9" s="14">
        <f>R9-L9</f>
        <v>187008713</v>
      </c>
      <c r="P9" s="15">
        <f t="shared" si="1"/>
        <v>11.940750091270868</v>
      </c>
      <c r="Q9" s="14">
        <v>221646458</v>
      </c>
      <c r="R9" s="14">
        <v>351749747</v>
      </c>
      <c r="S9" s="15">
        <f t="shared" si="2"/>
        <v>58.698564449877196</v>
      </c>
      <c r="T9" s="16">
        <f>W9-Q9</f>
        <v>108938817</v>
      </c>
      <c r="U9" s="14">
        <f>X9-R9</f>
        <v>220052094</v>
      </c>
      <c r="V9" s="15">
        <f t="shared" ref="V9:V10" si="24">(U9/T9-1)*100</f>
        <v>101.99603783103316</v>
      </c>
      <c r="W9" s="14">
        <v>330585275</v>
      </c>
      <c r="X9" s="14">
        <v>571801841</v>
      </c>
      <c r="Y9" s="15">
        <f t="shared" ref="Y9:Y10" si="25">(X9/W9-1)*100</f>
        <v>72.966518548050871</v>
      </c>
      <c r="Z9" s="16">
        <f>AC9-W9</f>
        <v>218015085</v>
      </c>
      <c r="AA9" s="14">
        <f>AD9-X9</f>
        <v>220094147</v>
      </c>
      <c r="AB9" s="15">
        <f t="shared" ref="AB9:AB10" si="26">(AA9/Z9-1)*100</f>
        <v>0.95363217641568632</v>
      </c>
      <c r="AC9" s="14">
        <v>548600360</v>
      </c>
      <c r="AD9" s="14">
        <v>791895988</v>
      </c>
      <c r="AE9" s="15">
        <f t="shared" ref="AE9:AE10" si="27">(AD9/AC9-1)*100</f>
        <v>44.348426603292793</v>
      </c>
      <c r="AF9" s="16">
        <f>AI9-AC9</f>
        <v>221093670</v>
      </c>
      <c r="AG9" s="14">
        <f>AJ9-AD9</f>
        <v>275337032</v>
      </c>
      <c r="AH9" s="15">
        <f t="shared" ref="AH9:AH10" si="28">(AG9/AF9-1)*100</f>
        <v>24.534109004568073</v>
      </c>
      <c r="AI9" s="14">
        <v>769694030</v>
      </c>
      <c r="AJ9" s="14">
        <v>1067233020</v>
      </c>
      <c r="AK9" s="15">
        <f t="shared" ref="AK9:AK10" si="29">(AJ9/AI9-1)*100</f>
        <v>38.65678807460673</v>
      </c>
      <c r="AL9" s="16">
        <f>AO9-AI9</f>
        <v>219834232</v>
      </c>
      <c r="AM9" s="14">
        <f>AP9-AJ9</f>
        <v>282728739</v>
      </c>
      <c r="AN9" s="15">
        <f t="shared" ref="AN9:AN10" si="30">(AM9/AL9-1)*100</f>
        <v>28.609969624748889</v>
      </c>
      <c r="AO9" s="14">
        <v>989528262</v>
      </c>
      <c r="AP9" s="14">
        <v>1349961759</v>
      </c>
      <c r="AQ9" s="15">
        <f t="shared" ref="AQ9:AQ10" si="31">(AP9/AO9-1)*100</f>
        <v>36.424780457660134</v>
      </c>
      <c r="AR9" s="16">
        <f>AU9-AO9</f>
        <v>243136020</v>
      </c>
      <c r="AS9" s="14">
        <f>AV9-AP9</f>
        <v>326544824</v>
      </c>
      <c r="AT9" s="15">
        <f t="shared" ref="AT9:AT10" si="32">(AS9/AR9-1)*100</f>
        <v>34.305408141500379</v>
      </c>
      <c r="AU9" s="14">
        <v>1232664282</v>
      </c>
      <c r="AV9" s="14">
        <v>1676506583</v>
      </c>
      <c r="AW9" s="15">
        <f t="shared" ref="AW9:AW10" si="33">(AV9/AU9-1)*100</f>
        <v>36.006746320244233</v>
      </c>
      <c r="AX9" s="16">
        <f>BA9-AU9</f>
        <v>275069000</v>
      </c>
      <c r="AY9" s="14">
        <f>BB9-AV9</f>
        <v>282540529</v>
      </c>
      <c r="AZ9" s="15">
        <f t="shared" ref="AZ9:AZ10" si="34">(AY9/AX9-1)*100</f>
        <v>2.7162381075293895</v>
      </c>
      <c r="BA9" s="14">
        <v>1507733282</v>
      </c>
      <c r="BB9" s="14">
        <v>1959047112</v>
      </c>
      <c r="BC9" s="15">
        <f t="shared" ref="BC9:BC10" si="35">(BB9/BA9-1)*100</f>
        <v>29.9332670697124</v>
      </c>
      <c r="BD9" s="16">
        <f>BG9-BA9</f>
        <v>273330338</v>
      </c>
      <c r="BE9" s="14">
        <f>BH9-BB9</f>
        <v>255691265</v>
      </c>
      <c r="BF9" s="15">
        <f t="shared" ref="BF9:BF10" si="36">(BE9/BD9-1)*100</f>
        <v>-6.4533901099555262</v>
      </c>
      <c r="BG9" s="14">
        <v>1781063620</v>
      </c>
      <c r="BH9" s="14">
        <v>2214738377</v>
      </c>
      <c r="BI9" s="15">
        <f t="shared" ref="BI9:BI10" si="37">(BH9/BG9-1)*100</f>
        <v>24.349200788234615</v>
      </c>
      <c r="BJ9" s="16">
        <f>BM9-BG9</f>
        <v>165882284</v>
      </c>
      <c r="BK9" s="14">
        <f>BN9-BH9</f>
        <v>382273111</v>
      </c>
      <c r="BL9" s="15">
        <f t="shared" ref="BL9:BL10" si="38">(BK9/BJ9-1)*100</f>
        <v>130.44842510126037</v>
      </c>
      <c r="BM9" s="14">
        <v>1946945904</v>
      </c>
      <c r="BN9" s="14">
        <v>2597011488</v>
      </c>
      <c r="BO9" s="15">
        <f t="shared" ref="BO9:BO10" si="39">(BN9/BM9-1)*100</f>
        <v>33.388990555127407</v>
      </c>
      <c r="BP9" s="16">
        <f>BS9-BM9</f>
        <v>380746657</v>
      </c>
      <c r="BQ9" s="14">
        <f>BT9-BN9</f>
        <v>337258006</v>
      </c>
      <c r="BR9" s="15">
        <f t="shared" ref="BR9:BR10" si="40">(BQ9/BP9-1)*100</f>
        <v>-11.421939024404882</v>
      </c>
      <c r="BS9" s="14">
        <v>2327692561</v>
      </c>
      <c r="BT9" s="14">
        <v>2934269494</v>
      </c>
      <c r="BU9" s="15">
        <f t="shared" ref="BU9:BU10" si="41">(BT9/BS9-1)*100</f>
        <v>26.059151589134633</v>
      </c>
      <c r="BV9" s="16">
        <f>BY9-BS9</f>
        <v>466359492</v>
      </c>
      <c r="BW9" s="14">
        <f>BZ9-BT9</f>
        <v>365267748</v>
      </c>
      <c r="BX9" s="15">
        <f t="shared" ref="BX9:BX10" si="42">(BW9/BV9-1)*100</f>
        <v>-21.67678491252838</v>
      </c>
      <c r="BY9" s="14">
        <v>2794052053</v>
      </c>
      <c r="BZ9" s="14">
        <v>3299537242</v>
      </c>
      <c r="CA9" s="15">
        <f t="shared" ref="CA9:CA10" si="43">(BZ9/BY9-1)*100</f>
        <v>18.091473580717853</v>
      </c>
    </row>
    <row r="10" spans="1:79" s="1" customFormat="1" ht="19.5" customHeight="1">
      <c r="A10" s="152"/>
      <c r="B10" s="120"/>
      <c r="C10" s="33" t="s">
        <v>50</v>
      </c>
      <c r="D10" s="17">
        <v>94256</v>
      </c>
      <c r="E10" s="17">
        <v>163143797</v>
      </c>
      <c r="F10" s="17">
        <v>147526461</v>
      </c>
      <c r="G10" s="17">
        <v>143224813</v>
      </c>
      <c r="H10" s="17">
        <v>156202555</v>
      </c>
      <c r="I10" s="17">
        <v>141710328</v>
      </c>
      <c r="J10" s="17">
        <v>159447216</v>
      </c>
      <c r="K10" s="17">
        <v>3762909</v>
      </c>
      <c r="L10" s="17">
        <v>7204093</v>
      </c>
      <c r="M10" s="18">
        <f t="shared" si="0"/>
        <v>91.450098846397836</v>
      </c>
      <c r="N10" s="14">
        <f>Q10-K10</f>
        <v>10819605</v>
      </c>
      <c r="O10" s="14">
        <f>R10-L10</f>
        <v>6494453</v>
      </c>
      <c r="P10" s="18">
        <f t="shared" si="1"/>
        <v>-39.975137724528764</v>
      </c>
      <c r="Q10" s="17">
        <v>14582514</v>
      </c>
      <c r="R10" s="17">
        <v>13698546</v>
      </c>
      <c r="S10" s="18">
        <f t="shared" si="2"/>
        <v>-6.0618354283767495</v>
      </c>
      <c r="T10" s="14">
        <f>W10-Q10</f>
        <v>7508570</v>
      </c>
      <c r="U10" s="14">
        <f>X10-R10</f>
        <v>7138736</v>
      </c>
      <c r="V10" s="18">
        <f t="shared" si="24"/>
        <v>-4.9254918046978347</v>
      </c>
      <c r="W10" s="17">
        <v>22091084</v>
      </c>
      <c r="X10" s="17">
        <v>20837282</v>
      </c>
      <c r="Y10" s="18">
        <f t="shared" si="25"/>
        <v>-5.6756019758921745</v>
      </c>
      <c r="Z10" s="14">
        <f>AC10-W10</f>
        <v>16561295</v>
      </c>
      <c r="AA10" s="14">
        <f>AD10-X10</f>
        <v>7990271</v>
      </c>
      <c r="AB10" s="18">
        <f t="shared" si="26"/>
        <v>-51.753344167832282</v>
      </c>
      <c r="AC10" s="17">
        <v>38652379</v>
      </c>
      <c r="AD10" s="17">
        <v>28827553</v>
      </c>
      <c r="AE10" s="18">
        <f t="shared" si="27"/>
        <v>-25.418425085814256</v>
      </c>
      <c r="AF10" s="14">
        <f>AI10-AC10</f>
        <v>13643912</v>
      </c>
      <c r="AG10" s="14">
        <f>AJ10-AD10</f>
        <v>11048803</v>
      </c>
      <c r="AH10" s="18">
        <f t="shared" si="28"/>
        <v>-19.020270725873935</v>
      </c>
      <c r="AI10" s="17">
        <v>52296291</v>
      </c>
      <c r="AJ10" s="17">
        <v>39876356</v>
      </c>
      <c r="AK10" s="18">
        <f t="shared" si="29"/>
        <v>-23.749169898109979</v>
      </c>
      <c r="AL10" s="14">
        <f>AO10-AI10</f>
        <v>12615324</v>
      </c>
      <c r="AM10" s="14">
        <f>AP10-AJ10</f>
        <v>12142388</v>
      </c>
      <c r="AN10" s="18">
        <f t="shared" si="30"/>
        <v>-3.7489009398411044</v>
      </c>
      <c r="AO10" s="17">
        <v>64911615</v>
      </c>
      <c r="AP10" s="17">
        <v>52018744</v>
      </c>
      <c r="AQ10" s="18">
        <f t="shared" si="31"/>
        <v>-19.86219415431275</v>
      </c>
      <c r="AR10" s="14">
        <f>AU10-AO10</f>
        <v>15423916</v>
      </c>
      <c r="AS10" s="14">
        <f>AV10-AP10</f>
        <v>14315891</v>
      </c>
      <c r="AT10" s="18">
        <f t="shared" si="32"/>
        <v>-7.1838111670213927</v>
      </c>
      <c r="AU10" s="17">
        <v>80335531</v>
      </c>
      <c r="AV10" s="17">
        <v>66334635</v>
      </c>
      <c r="AW10" s="18">
        <f t="shared" si="33"/>
        <v>-17.428024469023551</v>
      </c>
      <c r="AX10" s="14">
        <f>BA10-AU10</f>
        <v>16521287</v>
      </c>
      <c r="AY10" s="14">
        <f>BB10-AV10</f>
        <v>12926547</v>
      </c>
      <c r="AZ10" s="18">
        <f t="shared" si="34"/>
        <v>-21.758232273308977</v>
      </c>
      <c r="BA10" s="17">
        <v>96856818</v>
      </c>
      <c r="BB10" s="17">
        <v>79261182</v>
      </c>
      <c r="BC10" s="18">
        <f t="shared" si="35"/>
        <v>-18.166646771319705</v>
      </c>
      <c r="BD10" s="14">
        <f>BG10-BA10</f>
        <v>14276817</v>
      </c>
      <c r="BE10" s="14">
        <f>BH10-BB10</f>
        <v>12518086</v>
      </c>
      <c r="BF10" s="18">
        <f t="shared" si="36"/>
        <v>-12.318789265142227</v>
      </c>
      <c r="BG10" s="17">
        <v>111133635</v>
      </c>
      <c r="BH10" s="17">
        <v>91779268</v>
      </c>
      <c r="BI10" s="18">
        <f t="shared" si="37"/>
        <v>-17.415399937201727</v>
      </c>
      <c r="BJ10" s="14">
        <f>BM10-BG10</f>
        <v>8101853</v>
      </c>
      <c r="BK10" s="14">
        <f>BN10-BH10</f>
        <v>19307069</v>
      </c>
      <c r="BL10" s="18">
        <f t="shared" si="38"/>
        <v>138.30436074315347</v>
      </c>
      <c r="BM10" s="17">
        <v>119235488</v>
      </c>
      <c r="BN10" s="17">
        <v>111086337</v>
      </c>
      <c r="BO10" s="18">
        <f t="shared" si="39"/>
        <v>-6.8345013189361925</v>
      </c>
      <c r="BP10" s="14">
        <f>BS10-BM10</f>
        <v>17941666</v>
      </c>
      <c r="BQ10" s="14">
        <f>BT10-BN10</f>
        <v>17601849</v>
      </c>
      <c r="BR10" s="18">
        <f t="shared" si="40"/>
        <v>-1.8940102886766508</v>
      </c>
      <c r="BS10" s="17">
        <v>137177154</v>
      </c>
      <c r="BT10" s="17">
        <v>128688186</v>
      </c>
      <c r="BU10" s="18">
        <f t="shared" si="41"/>
        <v>-6.1883249159696119</v>
      </c>
      <c r="BV10" s="14">
        <f>BY10-BS10</f>
        <v>22270062</v>
      </c>
      <c r="BW10" s="14">
        <f>BZ10-BT10</f>
        <v>18968877</v>
      </c>
      <c r="BX10" s="18">
        <f t="shared" si="42"/>
        <v>-14.823420787961883</v>
      </c>
      <c r="BY10" s="17">
        <v>159447216</v>
      </c>
      <c r="BZ10" s="17">
        <v>147657063</v>
      </c>
      <c r="CA10" s="18">
        <f t="shared" si="43"/>
        <v>-7.39439251168863</v>
      </c>
    </row>
    <row r="11" spans="1:79" s="1" customFormat="1" ht="19.5" customHeight="1" thickBot="1">
      <c r="A11" s="153"/>
      <c r="B11" s="121"/>
      <c r="C11" s="41" t="s">
        <v>51</v>
      </c>
      <c r="D11" s="37">
        <f t="shared" ref="D11:L11" si="44">D10/D9</f>
        <v>7.6524377912019347E-5</v>
      </c>
      <c r="E11" s="37">
        <f t="shared" si="44"/>
        <v>0.1132532250331893</v>
      </c>
      <c r="F11" s="37">
        <f t="shared" si="44"/>
        <v>0.11819420899874422</v>
      </c>
      <c r="G11" s="37">
        <f t="shared" si="44"/>
        <v>9.7980185688650953E-2</v>
      </c>
      <c r="H11" s="38">
        <f>H10/H9</f>
        <v>8.7565742395475529E-2</v>
      </c>
      <c r="I11" s="38">
        <f>I10/I9</f>
        <v>7.7230840458062611E-2</v>
      </c>
      <c r="J11" s="38">
        <f>J10/J9</f>
        <v>5.7066659094199772E-2</v>
      </c>
      <c r="K11" s="38">
        <f t="shared" si="44"/>
        <v>6.8935404059079969E-2</v>
      </c>
      <c r="L11" s="38">
        <f t="shared" si="44"/>
        <v>4.3729803225588594E-2</v>
      </c>
      <c r="M11" s="21"/>
      <c r="N11" s="38">
        <f>N10/N9</f>
        <v>6.4764613368108931E-2</v>
      </c>
      <c r="O11" s="38">
        <f>O10/O9</f>
        <v>3.4728077081627742E-2</v>
      </c>
      <c r="P11" s="21"/>
      <c r="Q11" s="38">
        <f>Q10/Q9</f>
        <v>6.5791775476962508E-2</v>
      </c>
      <c r="R11" s="38">
        <f>R10/R9</f>
        <v>3.8944010953332685E-2</v>
      </c>
      <c r="S11" s="21"/>
      <c r="T11" s="38">
        <f>T10/T9</f>
        <v>6.8924651531694164E-2</v>
      </c>
      <c r="U11" s="38">
        <f>U10/U9</f>
        <v>3.2441118238120473E-2</v>
      </c>
      <c r="V11" s="21"/>
      <c r="W11" s="38">
        <f>W10/W9</f>
        <v>6.6824162086469213E-2</v>
      </c>
      <c r="X11" s="38">
        <f>X10/X9</f>
        <v>3.6441439159339818E-2</v>
      </c>
      <c r="Y11" s="21"/>
      <c r="Z11" s="38">
        <f>Z10/Z9</f>
        <v>7.5963986620467105E-2</v>
      </c>
      <c r="AA11" s="38">
        <f>AA10/AA9</f>
        <v>3.6303877721927787E-2</v>
      </c>
      <c r="AB11" s="21"/>
      <c r="AC11" s="38">
        <f>AC10/AC9</f>
        <v>7.0456350046872007E-2</v>
      </c>
      <c r="AD11" s="38">
        <f>AD10/AD9</f>
        <v>3.6403206275620124E-2</v>
      </c>
      <c r="AE11" s="21"/>
      <c r="AF11" s="38">
        <f>AF10/AF9</f>
        <v>6.1711002400023481E-2</v>
      </c>
      <c r="AG11" s="38">
        <f>AG10/AG9</f>
        <v>4.0128285395333238E-2</v>
      </c>
      <c r="AH11" s="21"/>
      <c r="AI11" s="38">
        <f>AI10/AI9</f>
        <v>6.7944259617032501E-2</v>
      </c>
      <c r="AJ11" s="38">
        <f>AJ10/AJ9</f>
        <v>3.7364244970606322E-2</v>
      </c>
      <c r="AK11" s="21"/>
      <c r="AL11" s="38">
        <f>AL10/AL9</f>
        <v>5.7385621362190761E-2</v>
      </c>
      <c r="AM11" s="38">
        <f>AM10/AM9</f>
        <v>4.2947130323387463E-2</v>
      </c>
      <c r="AN11" s="21"/>
      <c r="AO11" s="38">
        <f>AO10/AO9</f>
        <v>6.5598545784637724E-2</v>
      </c>
      <c r="AP11" s="38">
        <f>AP10/AP9</f>
        <v>3.8533494488416836E-2</v>
      </c>
      <c r="AQ11" s="21"/>
      <c r="AR11" s="38">
        <f>AR10/AR9</f>
        <v>6.343739607154876E-2</v>
      </c>
      <c r="AS11" s="38">
        <f>AS10/AS9</f>
        <v>4.3840508095145919E-2</v>
      </c>
      <c r="AT11" s="21"/>
      <c r="AU11" s="38">
        <f>AU10/AU9</f>
        <v>6.5172271293247389E-2</v>
      </c>
      <c r="AV11" s="38">
        <f>AV10/AV9</f>
        <v>3.9567178365204188E-2</v>
      </c>
      <c r="AW11" s="21"/>
      <c r="AX11" s="38">
        <f>AX10/AX9</f>
        <v>6.0062337086331068E-2</v>
      </c>
      <c r="AY11" s="38">
        <f>AY10/AY9</f>
        <v>4.575112478818924E-2</v>
      </c>
      <c r="AZ11" s="21"/>
      <c r="BA11" s="38">
        <f>BA10/BA9</f>
        <v>6.424002120024834E-2</v>
      </c>
      <c r="BB11" s="38">
        <f>BB10/BB9</f>
        <v>4.0459048439668154E-2</v>
      </c>
      <c r="BC11" s="21"/>
      <c r="BD11" s="38">
        <f>BD10/BD9</f>
        <v>5.2232829712448532E-2</v>
      </c>
      <c r="BE11" s="38">
        <f>BE10/BE9</f>
        <v>4.8957816372804129E-2</v>
      </c>
      <c r="BF11" s="21"/>
      <c r="BG11" s="38">
        <f>BG10/BG9</f>
        <v>6.2397341539096735E-2</v>
      </c>
      <c r="BH11" s="38">
        <f>BH10/BH9</f>
        <v>4.1440230120688426E-2</v>
      </c>
      <c r="BI11" s="21"/>
      <c r="BJ11" s="38">
        <f>BJ10/BJ9</f>
        <v>4.8840978099867496E-2</v>
      </c>
      <c r="BK11" s="38">
        <f>BK10/BK9</f>
        <v>5.050595619842066E-2</v>
      </c>
      <c r="BL11" s="21"/>
      <c r="BM11" s="38">
        <f>BM10/BM9</f>
        <v>6.1242322015743075E-2</v>
      </c>
      <c r="BN11" s="38">
        <f>BN10/BN9</f>
        <v>4.2774680633218667E-2</v>
      </c>
      <c r="BO11" s="21"/>
      <c r="BP11" s="38">
        <f>BP10/BP9</f>
        <v>4.7122320498798234E-2</v>
      </c>
      <c r="BQ11" s="38">
        <f>BQ10/BQ9</f>
        <v>5.2191048653712317E-2</v>
      </c>
      <c r="BR11" s="21"/>
      <c r="BS11" s="38">
        <f>BS10/BS9</f>
        <v>5.8932677063274763E-2</v>
      </c>
      <c r="BT11" s="38">
        <f>BT10/BT9</f>
        <v>4.3856975735576384E-2</v>
      </c>
      <c r="BU11" s="21"/>
      <c r="BV11" s="38">
        <f>BV10/BV9</f>
        <v>4.7752993949997699E-2</v>
      </c>
      <c r="BW11" s="38">
        <f>BW10/BW9</f>
        <v>5.1931431405764297E-2</v>
      </c>
      <c r="BX11" s="21"/>
      <c r="BY11" s="38">
        <f>BY10/BY9</f>
        <v>5.7066659094199772E-2</v>
      </c>
      <c r="BZ11" s="38">
        <f>BZ10/BZ9</f>
        <v>4.475083994217878E-2</v>
      </c>
      <c r="CA11" s="21"/>
    </row>
    <row r="12" spans="1:79" s="1" customFormat="1" ht="19.5" customHeight="1">
      <c r="A12" s="151" t="s">
        <v>60</v>
      </c>
      <c r="B12" s="114">
        <v>2605</v>
      </c>
      <c r="C12" s="32" t="s">
        <v>42</v>
      </c>
      <c r="D12" s="14">
        <v>307</v>
      </c>
      <c r="E12" s="14">
        <v>0</v>
      </c>
      <c r="F12" s="14">
        <v>7825422</v>
      </c>
      <c r="G12" s="14">
        <v>1957597</v>
      </c>
      <c r="H12" s="14">
        <v>2063092</v>
      </c>
      <c r="I12" s="14">
        <v>3156348</v>
      </c>
      <c r="J12" s="14">
        <v>2783848</v>
      </c>
      <c r="K12" s="14">
        <v>642959</v>
      </c>
      <c r="L12" s="14">
        <v>54688</v>
      </c>
      <c r="M12" s="15">
        <f t="shared" si="0"/>
        <v>-91.494325454655751</v>
      </c>
      <c r="N12" s="16">
        <f>Q12-K12</f>
        <v>0</v>
      </c>
      <c r="O12" s="14">
        <f>R12-L12</f>
        <v>0</v>
      </c>
      <c r="P12" s="15" t="e">
        <f t="shared" si="1"/>
        <v>#DIV/0!</v>
      </c>
      <c r="Q12" s="14">
        <v>642959</v>
      </c>
      <c r="R12" s="14">
        <v>54688</v>
      </c>
      <c r="S12" s="15">
        <f t="shared" si="2"/>
        <v>-91.494325454655751</v>
      </c>
      <c r="T12" s="16">
        <f>W12-Q12</f>
        <v>643909</v>
      </c>
      <c r="U12" s="14">
        <f>X12-R12</f>
        <v>51936</v>
      </c>
      <c r="V12" s="15">
        <f t="shared" ref="V12:V13" si="45">(U12/T12-1)*100</f>
        <v>-91.934264003143312</v>
      </c>
      <c r="W12" s="14">
        <v>1286868</v>
      </c>
      <c r="X12" s="14">
        <v>106624</v>
      </c>
      <c r="Y12" s="15">
        <f t="shared" ref="Y12:Y13" si="46">(X12/W12-1)*100</f>
        <v>-91.714457116036769</v>
      </c>
      <c r="Z12" s="16">
        <f>AC12-W12</f>
        <v>0</v>
      </c>
      <c r="AA12" s="14">
        <f>AD12-X12</f>
        <v>19365</v>
      </c>
      <c r="AB12" s="15" t="e">
        <f t="shared" ref="AB12:AB13" si="47">(AA12/Z12-1)*100</f>
        <v>#DIV/0!</v>
      </c>
      <c r="AC12" s="14">
        <v>1286868</v>
      </c>
      <c r="AD12" s="14">
        <v>125989</v>
      </c>
      <c r="AE12" s="15">
        <f t="shared" ref="AE12:AE13" si="48">(AD12/AC12-1)*100</f>
        <v>-90.209640771236835</v>
      </c>
      <c r="AF12" s="16">
        <f>AI12-AC12</f>
        <v>448111</v>
      </c>
      <c r="AG12" s="14">
        <f>AJ12-AD12</f>
        <v>69797</v>
      </c>
      <c r="AH12" s="15">
        <f t="shared" ref="AH12:AH13" si="49">(AG12/AF12-1)*100</f>
        <v>-84.424171689603682</v>
      </c>
      <c r="AI12" s="14">
        <v>1734979</v>
      </c>
      <c r="AJ12" s="14">
        <v>195786</v>
      </c>
      <c r="AK12" s="15">
        <f t="shared" ref="AK12:AK13" si="50">(AJ12/AI12-1)*100</f>
        <v>-88.715367736439461</v>
      </c>
      <c r="AL12" s="16">
        <f>AO12-AI12</f>
        <v>0</v>
      </c>
      <c r="AM12" s="14">
        <f>AP12-AJ12</f>
        <v>0</v>
      </c>
      <c r="AN12" s="15" t="e">
        <f t="shared" ref="AN12:AN13" si="51">(AM12/AL12-1)*100</f>
        <v>#DIV/0!</v>
      </c>
      <c r="AO12" s="14">
        <v>1734979</v>
      </c>
      <c r="AP12" s="14">
        <v>195786</v>
      </c>
      <c r="AQ12" s="15">
        <f t="shared" ref="AQ12:AQ13" si="52">(AP12/AO12-1)*100</f>
        <v>-88.715367736439461</v>
      </c>
      <c r="AR12" s="16">
        <f>AU12-AO12</f>
        <v>0</v>
      </c>
      <c r="AS12" s="14">
        <f>AV12-AP12</f>
        <v>0</v>
      </c>
      <c r="AT12" s="15" t="e">
        <f t="shared" ref="AT12:AT13" si="53">(AS12/AR12-1)*100</f>
        <v>#DIV/0!</v>
      </c>
      <c r="AU12" s="14">
        <v>1734979</v>
      </c>
      <c r="AV12" s="14">
        <v>195786</v>
      </c>
      <c r="AW12" s="15">
        <f t="shared" ref="AW12:AW13" si="54">(AV12/AU12-1)*100</f>
        <v>-88.715367736439461</v>
      </c>
      <c r="AX12" s="16">
        <f>BA12-AU12</f>
        <v>0</v>
      </c>
      <c r="AY12" s="14">
        <f>BB12-AV12</f>
        <v>0</v>
      </c>
      <c r="AZ12" s="15" t="e">
        <f t="shared" ref="AZ12:AZ13" si="55">(AY12/AX12-1)*100</f>
        <v>#DIV/0!</v>
      </c>
      <c r="BA12" s="14">
        <v>1734979</v>
      </c>
      <c r="BB12" s="14">
        <v>195786</v>
      </c>
      <c r="BC12" s="15">
        <f t="shared" ref="BC12:BC13" si="56">(BB12/BA12-1)*100</f>
        <v>-88.715367736439461</v>
      </c>
      <c r="BD12" s="16">
        <f>BG12-BA12</f>
        <v>511017</v>
      </c>
      <c r="BE12" s="14">
        <f>BH12-BB12</f>
        <v>1</v>
      </c>
      <c r="BF12" s="15">
        <f t="shared" ref="BF12:BF13" si="57">(BE12/BD12-1)*100</f>
        <v>-99.999804311793923</v>
      </c>
      <c r="BG12" s="14">
        <v>2245996</v>
      </c>
      <c r="BH12" s="14">
        <v>195787</v>
      </c>
      <c r="BI12" s="15">
        <f t="shared" ref="BI12:BI13" si="58">(BH12/BG12-1)*100</f>
        <v>-91.282842890192157</v>
      </c>
      <c r="BJ12" s="16">
        <f>BM12-BG12</f>
        <v>0</v>
      </c>
      <c r="BK12" s="14">
        <f>BN12-BH12</f>
        <v>0</v>
      </c>
      <c r="BL12" s="15" t="e">
        <f t="shared" ref="BL12:BL13" si="59">(BK12/BJ12-1)*100</f>
        <v>#DIV/0!</v>
      </c>
      <c r="BM12" s="14">
        <v>2245996</v>
      </c>
      <c r="BN12" s="14">
        <v>195787</v>
      </c>
      <c r="BO12" s="15">
        <f t="shared" ref="BO12:BO13" si="60">(BN12/BM12-1)*100</f>
        <v>-91.282842890192157</v>
      </c>
      <c r="BP12" s="16">
        <f>BS12-BM12</f>
        <v>537852</v>
      </c>
      <c r="BQ12" s="14">
        <f>BT12-BN12</f>
        <v>0</v>
      </c>
      <c r="BR12" s="15">
        <f t="shared" ref="BR12:BR13" si="61">(BQ12/BP12-1)*100</f>
        <v>-100</v>
      </c>
      <c r="BS12" s="14">
        <v>2783848</v>
      </c>
      <c r="BT12" s="14">
        <v>195787</v>
      </c>
      <c r="BU12" s="15">
        <f t="shared" ref="BU12:BU13" si="62">(BT12/BS12-1)*100</f>
        <v>-92.967036993399063</v>
      </c>
      <c r="BV12" s="16">
        <f>BY12-BS12</f>
        <v>0</v>
      </c>
      <c r="BW12" s="14">
        <f>BZ12-BT12</f>
        <v>17773</v>
      </c>
      <c r="BX12" s="15" t="e">
        <f t="shared" ref="BX12:BX13" si="63">(BW12/BV12-1)*100</f>
        <v>#DIV/0!</v>
      </c>
      <c r="BY12" s="14">
        <v>2783848</v>
      </c>
      <c r="BZ12" s="14">
        <v>213560</v>
      </c>
      <c r="CA12" s="15">
        <f t="shared" ref="CA12:CA13" si="64">(BZ12/BY12-1)*100</f>
        <v>-92.328604147927621</v>
      </c>
    </row>
    <row r="13" spans="1:79" s="1" customFormat="1" ht="19.5" customHeight="1">
      <c r="A13" s="152"/>
      <c r="B13" s="120"/>
      <c r="C13" s="33" t="s">
        <v>50</v>
      </c>
      <c r="D13" s="17">
        <v>3328</v>
      </c>
      <c r="E13" s="17">
        <v>0</v>
      </c>
      <c r="F13" s="17">
        <v>19217981</v>
      </c>
      <c r="G13" s="17">
        <v>6836847</v>
      </c>
      <c r="H13" s="17">
        <v>3191913</v>
      </c>
      <c r="I13" s="17">
        <v>6340324</v>
      </c>
      <c r="J13" s="17">
        <v>6733090</v>
      </c>
      <c r="K13" s="17">
        <v>1700500</v>
      </c>
      <c r="L13" s="17">
        <v>52271</v>
      </c>
      <c r="M13" s="18">
        <f t="shared" si="0"/>
        <v>-96.926139370773299</v>
      </c>
      <c r="N13" s="16">
        <f>Q13-K13</f>
        <v>0</v>
      </c>
      <c r="O13" s="14">
        <f>R13-L13</f>
        <v>0</v>
      </c>
      <c r="P13" s="18" t="e">
        <f t="shared" si="1"/>
        <v>#DIV/0!</v>
      </c>
      <c r="Q13" s="17">
        <v>1700500</v>
      </c>
      <c r="R13" s="17">
        <v>52271</v>
      </c>
      <c r="S13" s="18">
        <f t="shared" si="2"/>
        <v>-96.926139370773299</v>
      </c>
      <c r="T13" s="16">
        <f>W13-Q13</f>
        <v>1671570</v>
      </c>
      <c r="U13" s="14">
        <f>X13-R13</f>
        <v>53047</v>
      </c>
      <c r="V13" s="18">
        <f t="shared" si="45"/>
        <v>-96.826516388784199</v>
      </c>
      <c r="W13" s="17">
        <v>3372070</v>
      </c>
      <c r="X13" s="17">
        <v>105318</v>
      </c>
      <c r="Y13" s="18">
        <f t="shared" si="46"/>
        <v>-96.876755227501206</v>
      </c>
      <c r="Z13" s="16">
        <f>AC13-W13</f>
        <v>0</v>
      </c>
      <c r="AA13" s="14">
        <f>AD13-X13</f>
        <v>144738</v>
      </c>
      <c r="AB13" s="18" t="e">
        <f t="shared" si="47"/>
        <v>#DIV/0!</v>
      </c>
      <c r="AC13" s="17">
        <v>3372070</v>
      </c>
      <c r="AD13" s="17">
        <v>250056</v>
      </c>
      <c r="AE13" s="18">
        <f t="shared" si="48"/>
        <v>-92.584495576900835</v>
      </c>
      <c r="AF13" s="16">
        <f>AI13-AC13</f>
        <v>1063036</v>
      </c>
      <c r="AG13" s="14">
        <f>AJ13-AD13</f>
        <v>80069</v>
      </c>
      <c r="AH13" s="18">
        <f t="shared" si="49"/>
        <v>-92.467893843670396</v>
      </c>
      <c r="AI13" s="17">
        <v>4435106</v>
      </c>
      <c r="AJ13" s="17">
        <v>330125</v>
      </c>
      <c r="AK13" s="18">
        <f t="shared" si="50"/>
        <v>-92.556547690179229</v>
      </c>
      <c r="AL13" s="16">
        <f>AO13-AI13</f>
        <v>0</v>
      </c>
      <c r="AM13" s="14">
        <f>AP13-AJ13</f>
        <v>0</v>
      </c>
      <c r="AN13" s="18" t="e">
        <f t="shared" si="51"/>
        <v>#DIV/0!</v>
      </c>
      <c r="AO13" s="17">
        <v>4435106</v>
      </c>
      <c r="AP13" s="17">
        <v>330125</v>
      </c>
      <c r="AQ13" s="18">
        <f t="shared" si="52"/>
        <v>-92.556547690179229</v>
      </c>
      <c r="AR13" s="16">
        <f>AU13-AO13</f>
        <v>0</v>
      </c>
      <c r="AS13" s="14">
        <f>AV13-AP13</f>
        <v>0</v>
      </c>
      <c r="AT13" s="18" t="e">
        <f t="shared" si="53"/>
        <v>#DIV/0!</v>
      </c>
      <c r="AU13" s="17">
        <v>4435106</v>
      </c>
      <c r="AV13" s="17">
        <v>330125</v>
      </c>
      <c r="AW13" s="18">
        <f t="shared" si="54"/>
        <v>-92.556547690179229</v>
      </c>
      <c r="AX13" s="16">
        <f>BA13-AU13</f>
        <v>0</v>
      </c>
      <c r="AY13" s="14">
        <f>BB13-AV13</f>
        <v>0</v>
      </c>
      <c r="AZ13" s="18" t="e">
        <f t="shared" si="55"/>
        <v>#DIV/0!</v>
      </c>
      <c r="BA13" s="17">
        <v>4435106</v>
      </c>
      <c r="BB13" s="17">
        <v>330125</v>
      </c>
      <c r="BC13" s="18">
        <f t="shared" si="56"/>
        <v>-92.556547690179229</v>
      </c>
      <c r="BD13" s="16">
        <f>BG13-BA13</f>
        <v>1165428</v>
      </c>
      <c r="BE13" s="14">
        <f>BH13-BB13</f>
        <v>95</v>
      </c>
      <c r="BF13" s="18">
        <f t="shared" si="57"/>
        <v>-99.991848488280695</v>
      </c>
      <c r="BG13" s="17">
        <v>5600534</v>
      </c>
      <c r="BH13" s="17">
        <v>330220</v>
      </c>
      <c r="BI13" s="18">
        <f t="shared" si="58"/>
        <v>-94.103776532737768</v>
      </c>
      <c r="BJ13" s="16">
        <f>BM13-BG13</f>
        <v>0</v>
      </c>
      <c r="BK13" s="14">
        <f>BN13-BH13</f>
        <v>0</v>
      </c>
      <c r="BL13" s="18" t="e">
        <f t="shared" si="59"/>
        <v>#DIV/0!</v>
      </c>
      <c r="BM13" s="17">
        <v>5600534</v>
      </c>
      <c r="BN13" s="17">
        <v>330220</v>
      </c>
      <c r="BO13" s="18">
        <f t="shared" si="60"/>
        <v>-94.103776532737768</v>
      </c>
      <c r="BP13" s="16">
        <f>BS13-BM13</f>
        <v>1132556</v>
      </c>
      <c r="BQ13" s="14">
        <f>BT13-BN13</f>
        <v>0</v>
      </c>
      <c r="BR13" s="18">
        <f t="shared" si="61"/>
        <v>-100</v>
      </c>
      <c r="BS13" s="17">
        <v>6733090</v>
      </c>
      <c r="BT13" s="17">
        <v>330220</v>
      </c>
      <c r="BU13" s="18">
        <f t="shared" si="62"/>
        <v>-95.095565334786841</v>
      </c>
      <c r="BV13" s="16">
        <f>BY13-BS13</f>
        <v>0</v>
      </c>
      <c r="BW13" s="14">
        <f>BZ13-BT13</f>
        <v>31859</v>
      </c>
      <c r="BX13" s="18" t="e">
        <f t="shared" si="63"/>
        <v>#DIV/0!</v>
      </c>
      <c r="BY13" s="17">
        <v>6733090</v>
      </c>
      <c r="BZ13" s="17">
        <v>362079</v>
      </c>
      <c r="CA13" s="18">
        <f t="shared" si="64"/>
        <v>-94.622394769711974</v>
      </c>
    </row>
    <row r="14" spans="1:79" s="1" customFormat="1" ht="19.5" customHeight="1" thickBot="1">
      <c r="A14" s="153"/>
      <c r="B14" s="121"/>
      <c r="C14" s="41" t="s">
        <v>51</v>
      </c>
      <c r="D14" s="37">
        <f t="shared" ref="D14:L14" si="65">D13/D12</f>
        <v>10.840390879478827</v>
      </c>
      <c r="E14" s="37" t="e">
        <f t="shared" si="65"/>
        <v>#DIV/0!</v>
      </c>
      <c r="F14" s="37">
        <f t="shared" si="65"/>
        <v>2.4558395700576914</v>
      </c>
      <c r="G14" s="37">
        <f t="shared" si="65"/>
        <v>3.4924690832689262</v>
      </c>
      <c r="H14" s="38">
        <f>H13/H12</f>
        <v>1.5471501028553258</v>
      </c>
      <c r="I14" s="38">
        <f>I13/I12</f>
        <v>2.0087531539614769</v>
      </c>
      <c r="J14" s="38">
        <f>J13/J12</f>
        <v>2.4186270227397473</v>
      </c>
      <c r="K14" s="38">
        <f t="shared" si="65"/>
        <v>2.6448031678536266</v>
      </c>
      <c r="L14" s="38">
        <f t="shared" si="65"/>
        <v>0.95580383265067292</v>
      </c>
      <c r="M14" s="21"/>
      <c r="N14" s="38" t="e">
        <f>N13/N12</f>
        <v>#DIV/0!</v>
      </c>
      <c r="O14" s="38" t="e">
        <f>O13/O12</f>
        <v>#DIV/0!</v>
      </c>
      <c r="P14" s="21"/>
      <c r="Q14" s="38">
        <f>Q13/Q12</f>
        <v>2.6448031678536266</v>
      </c>
      <c r="R14" s="38">
        <f>R13/R12</f>
        <v>0.95580383265067292</v>
      </c>
      <c r="S14" s="21"/>
      <c r="T14" s="38">
        <f>T13/T12</f>
        <v>2.5959724122507994</v>
      </c>
      <c r="U14" s="38">
        <f>U13/U12</f>
        <v>1.0213917128773875</v>
      </c>
      <c r="V14" s="21"/>
      <c r="W14" s="38">
        <f>W13/W12</f>
        <v>2.6203697659744436</v>
      </c>
      <c r="X14" s="38">
        <f>X13/X12</f>
        <v>0.98775135054021612</v>
      </c>
      <c r="Y14" s="21"/>
      <c r="Z14" s="38" t="e">
        <f>Z13/Z12</f>
        <v>#DIV/0!</v>
      </c>
      <c r="AA14" s="38">
        <f>AA13/AA12</f>
        <v>7.4742060418280403</v>
      </c>
      <c r="AB14" s="21"/>
      <c r="AC14" s="38">
        <f>AC13/AC12</f>
        <v>2.6203697659744436</v>
      </c>
      <c r="AD14" s="38">
        <f>AD13/AD12</f>
        <v>1.9847446999341212</v>
      </c>
      <c r="AE14" s="21"/>
      <c r="AF14" s="38">
        <f>AF13/AF12</f>
        <v>2.3722604443988207</v>
      </c>
      <c r="AG14" s="38">
        <f>AG13/AG12</f>
        <v>1.1471696491253205</v>
      </c>
      <c r="AH14" s="21"/>
      <c r="AI14" s="38">
        <f>AI13/AI12</f>
        <v>2.5562880011804179</v>
      </c>
      <c r="AJ14" s="38">
        <f>AJ13/AJ12</f>
        <v>1.686152227431992</v>
      </c>
      <c r="AK14" s="21"/>
      <c r="AL14" s="38" t="e">
        <f>AL13/AL12</f>
        <v>#DIV/0!</v>
      </c>
      <c r="AM14" s="38" t="e">
        <f>AM13/AM12</f>
        <v>#DIV/0!</v>
      </c>
      <c r="AN14" s="21"/>
      <c r="AO14" s="38">
        <f>AO13/AO12</f>
        <v>2.5562880011804179</v>
      </c>
      <c r="AP14" s="38">
        <f>AP13/AP12</f>
        <v>1.686152227431992</v>
      </c>
      <c r="AQ14" s="21"/>
      <c r="AR14" s="38" t="e">
        <f>AR13/AR12</f>
        <v>#DIV/0!</v>
      </c>
      <c r="AS14" s="38" t="e">
        <f>AS13/AS12</f>
        <v>#DIV/0!</v>
      </c>
      <c r="AT14" s="21"/>
      <c r="AU14" s="38">
        <f>AU13/AU12</f>
        <v>2.5562880011804179</v>
      </c>
      <c r="AV14" s="38">
        <f>AV13/AV12</f>
        <v>1.686152227431992</v>
      </c>
      <c r="AW14" s="21"/>
      <c r="AX14" s="38" t="e">
        <f>AX13/AX12</f>
        <v>#DIV/0!</v>
      </c>
      <c r="AY14" s="38" t="e">
        <f>AY13/AY12</f>
        <v>#DIV/0!</v>
      </c>
      <c r="AZ14" s="21"/>
      <c r="BA14" s="38">
        <f>BA13/BA12</f>
        <v>2.5562880011804179</v>
      </c>
      <c r="BB14" s="38">
        <f>BB13/BB12</f>
        <v>1.686152227431992</v>
      </c>
      <c r="BC14" s="21"/>
      <c r="BD14" s="38">
        <f>BD13/BD12</f>
        <v>2.2806051462084431</v>
      </c>
      <c r="BE14" s="38">
        <f>BE13/BE12</f>
        <v>95</v>
      </c>
      <c r="BF14" s="21"/>
      <c r="BG14" s="38">
        <f>BG13/BG12</f>
        <v>2.4935636572816691</v>
      </c>
      <c r="BH14" s="38">
        <f>BH13/BH12</f>
        <v>1.6866288364396003</v>
      </c>
      <c r="BI14" s="21"/>
      <c r="BJ14" s="38" t="e">
        <f>BJ13/BJ12</f>
        <v>#DIV/0!</v>
      </c>
      <c r="BK14" s="38" t="e">
        <f>BK13/BK12</f>
        <v>#DIV/0!</v>
      </c>
      <c r="BL14" s="21"/>
      <c r="BM14" s="38">
        <f>BM13/BM12</f>
        <v>2.4935636572816691</v>
      </c>
      <c r="BN14" s="38">
        <f>BN13/BN12</f>
        <v>1.6866288364396003</v>
      </c>
      <c r="BO14" s="21"/>
      <c r="BP14" s="38">
        <f>BP13/BP12</f>
        <v>2.1057019403107176</v>
      </c>
      <c r="BQ14" s="38" t="e">
        <f>BQ13/BQ12</f>
        <v>#DIV/0!</v>
      </c>
      <c r="BR14" s="21"/>
      <c r="BS14" s="38">
        <f>BS13/BS12</f>
        <v>2.4186270227397473</v>
      </c>
      <c r="BT14" s="38">
        <f>BT13/BT12</f>
        <v>1.6866288364396003</v>
      </c>
      <c r="BU14" s="21"/>
      <c r="BV14" s="38" t="e">
        <f>BV13/BV12</f>
        <v>#DIV/0!</v>
      </c>
      <c r="BW14" s="38">
        <f>BW13/BW12</f>
        <v>1.7925504979463232</v>
      </c>
      <c r="BX14" s="21"/>
      <c r="BY14" s="38">
        <f>BY13/BY12</f>
        <v>2.4186270227397473</v>
      </c>
      <c r="BZ14" s="38">
        <f>BZ13/BZ12</f>
        <v>1.6954439033526878</v>
      </c>
      <c r="CA14" s="21"/>
    </row>
    <row r="15" spans="1:79" s="1" customFormat="1" ht="19.5" customHeight="1">
      <c r="A15" s="151" t="s">
        <v>61</v>
      </c>
      <c r="B15" s="114">
        <v>2606</v>
      </c>
      <c r="C15" s="32" t="s">
        <v>42</v>
      </c>
      <c r="D15" s="14">
        <v>283101450</v>
      </c>
      <c r="E15" s="14">
        <v>282618193</v>
      </c>
      <c r="F15" s="14">
        <v>364062327</v>
      </c>
      <c r="G15" s="14">
        <v>379420194</v>
      </c>
      <c r="H15" s="14">
        <v>411875583</v>
      </c>
      <c r="I15" s="14">
        <v>376965638</v>
      </c>
      <c r="J15" s="14">
        <v>407418916</v>
      </c>
      <c r="K15" s="14">
        <v>44703520</v>
      </c>
      <c r="L15" s="14">
        <v>44835518</v>
      </c>
      <c r="M15" s="15">
        <f t="shared" si="0"/>
        <v>0.29527428712547987</v>
      </c>
      <c r="N15" s="16">
        <f>Q15-K15</f>
        <v>2486000</v>
      </c>
      <c r="O15" s="14">
        <f>R15-L15</f>
        <v>1864015</v>
      </c>
      <c r="P15" s="15">
        <f t="shared" si="1"/>
        <v>-25.019509251810135</v>
      </c>
      <c r="Q15" s="14">
        <v>47189520</v>
      </c>
      <c r="R15" s="14">
        <v>46699533</v>
      </c>
      <c r="S15" s="15">
        <f t="shared" si="2"/>
        <v>-1.0383385972139614</v>
      </c>
      <c r="T15" s="16">
        <f>W15-Q15</f>
        <v>1813010</v>
      </c>
      <c r="U15" s="14">
        <f>X15-R15</f>
        <v>45028002</v>
      </c>
      <c r="V15" s="15">
        <f t="shared" ref="V15:V16" si="66">(U15/T15-1)*100</f>
        <v>2383.6047236363834</v>
      </c>
      <c r="W15" s="14">
        <v>49002530</v>
      </c>
      <c r="X15" s="14">
        <v>91727535</v>
      </c>
      <c r="Y15" s="15">
        <f t="shared" ref="Y15:Y16" si="67">(X15/W15-1)*100</f>
        <v>87.189385935787399</v>
      </c>
      <c r="Z15" s="16">
        <f>AC15-W15</f>
        <v>87642118</v>
      </c>
      <c r="AA15" s="14">
        <f>AD15-X15</f>
        <v>2210260</v>
      </c>
      <c r="AB15" s="15">
        <f t="shared" ref="AB15:AB16" si="68">(AA15/Z15-1)*100</f>
        <v>-97.478084680701116</v>
      </c>
      <c r="AC15" s="14">
        <v>136644648</v>
      </c>
      <c r="AD15" s="14">
        <v>93937795</v>
      </c>
      <c r="AE15" s="15">
        <f t="shared" ref="AE15:AE16" si="69">(AD15/AC15-1)*100</f>
        <v>-31.253952222117032</v>
      </c>
      <c r="AF15" s="16">
        <f>AI15-AC15</f>
        <v>44686129</v>
      </c>
      <c r="AG15" s="14">
        <f>AJ15-AD15</f>
        <v>45286316</v>
      </c>
      <c r="AH15" s="15">
        <f t="shared" ref="AH15:AH16" si="70">(AG15/AF15-1)*100</f>
        <v>1.3431170106499968</v>
      </c>
      <c r="AI15" s="14">
        <v>181330777</v>
      </c>
      <c r="AJ15" s="14">
        <v>139224111</v>
      </c>
      <c r="AK15" s="15">
        <f t="shared" ref="AK15:AK16" si="71">(AJ15/AI15-1)*100</f>
        <v>-23.220915222791994</v>
      </c>
      <c r="AL15" s="16">
        <f>AO15-AI15</f>
        <v>2153613</v>
      </c>
      <c r="AM15" s="14">
        <f>AP15-AJ15</f>
        <v>44044140</v>
      </c>
      <c r="AN15" s="15">
        <f t="shared" ref="AN15:AN16" si="72">(AM15/AL15-1)*100</f>
        <v>1945.1278850935612</v>
      </c>
      <c r="AO15" s="14">
        <v>183484390</v>
      </c>
      <c r="AP15" s="14">
        <v>183268251</v>
      </c>
      <c r="AQ15" s="15">
        <f t="shared" ref="AQ15:AQ16" si="73">(AP15/AO15-1)*100</f>
        <v>-0.1177969417452851</v>
      </c>
      <c r="AR15" s="16">
        <f>AU15-AO15</f>
        <v>45704712</v>
      </c>
      <c r="AS15" s="14">
        <f>AV15-AP15</f>
        <v>44990219</v>
      </c>
      <c r="AT15" s="15">
        <f t="shared" ref="AT15:AT16" si="74">(AS15/AR15-1)*100</f>
        <v>-1.5632808275873211</v>
      </c>
      <c r="AU15" s="14">
        <v>229189102</v>
      </c>
      <c r="AV15" s="14">
        <v>228258470</v>
      </c>
      <c r="AW15" s="15">
        <f t="shared" ref="AW15:AW16" si="75">(AV15/AU15-1)*100</f>
        <v>-0.40605421107675621</v>
      </c>
      <c r="AX15" s="16">
        <f>BA15-AU15</f>
        <v>1926200</v>
      </c>
      <c r="AY15" s="14">
        <f>BB15-AV15</f>
        <v>1152003</v>
      </c>
      <c r="AZ15" s="15">
        <f t="shared" ref="AZ15:AZ16" si="76">(AY15/AX15-1)*100</f>
        <v>-40.192970615720071</v>
      </c>
      <c r="BA15" s="14">
        <v>231115302</v>
      </c>
      <c r="BB15" s="14">
        <v>229410473</v>
      </c>
      <c r="BC15" s="15">
        <f t="shared" ref="BC15:BC16" si="77">(BB15/BA15-1)*100</f>
        <v>-0.73765301788628612</v>
      </c>
      <c r="BD15" s="16">
        <f>BG15-BA15</f>
        <v>84622330</v>
      </c>
      <c r="BE15" s="14">
        <f>BH15-BB15</f>
        <v>46107511</v>
      </c>
      <c r="BF15" s="15">
        <f t="shared" ref="BF15:BF16" si="78">(BE15/BD15-1)*100</f>
        <v>-45.513777510026024</v>
      </c>
      <c r="BG15" s="14">
        <v>315737632</v>
      </c>
      <c r="BH15" s="14">
        <v>275517984</v>
      </c>
      <c r="BI15" s="15">
        <f t="shared" ref="BI15:BI16" si="79">(BH15/BG15-1)*100</f>
        <v>-12.738313056075622</v>
      </c>
      <c r="BJ15" s="16">
        <f>BM15-BG15</f>
        <v>2363630</v>
      </c>
      <c r="BK15" s="14">
        <f>BN15-BH15</f>
        <v>45263851</v>
      </c>
      <c r="BL15" s="15">
        <f t="shared" ref="BL15:BL16" si="80">(BK15/BJ15-1)*100</f>
        <v>1815.0142365767908</v>
      </c>
      <c r="BM15" s="14">
        <v>318101262</v>
      </c>
      <c r="BN15" s="14">
        <v>320781835</v>
      </c>
      <c r="BO15" s="15">
        <f t="shared" ref="BO15:BO16" si="81">(BN15/BM15-1)*100</f>
        <v>0.84267914661715349</v>
      </c>
      <c r="BP15" s="16">
        <f>BS15-BM15</f>
        <v>45049060</v>
      </c>
      <c r="BQ15" s="14">
        <f>BT15-BN15</f>
        <v>44635730</v>
      </c>
      <c r="BR15" s="15">
        <f t="shared" ref="BR15:BR16" si="82">(BQ15/BP15-1)*100</f>
        <v>-0.91751082042554888</v>
      </c>
      <c r="BS15" s="14">
        <v>363150322</v>
      </c>
      <c r="BT15" s="14">
        <v>365417565</v>
      </c>
      <c r="BU15" s="15">
        <f t="shared" ref="BU15:BU16" si="83">(BT15/BS15-1)*100</f>
        <v>0.62432630859681204</v>
      </c>
      <c r="BV15" s="16">
        <f>BY15-BS15</f>
        <v>44268594</v>
      </c>
      <c r="BW15" s="14">
        <f>BZ15-BT15</f>
        <v>44414107</v>
      </c>
      <c r="BX15" s="15">
        <f t="shared" ref="BX15:BX16" si="84">(BW15/BV15-1)*100</f>
        <v>0.3287048149756</v>
      </c>
      <c r="BY15" s="14">
        <v>407418916</v>
      </c>
      <c r="BZ15" s="14">
        <v>409831672</v>
      </c>
      <c r="CA15" s="15">
        <f t="shared" ref="CA15:CA16" si="85">(BZ15/BY15-1)*100</f>
        <v>0.59220519844493946</v>
      </c>
    </row>
    <row r="16" spans="1:79" s="1" customFormat="1" ht="19.5" customHeight="1">
      <c r="A16" s="152"/>
      <c r="B16" s="120"/>
      <c r="C16" s="33" t="s">
        <v>50</v>
      </c>
      <c r="D16" s="17">
        <v>21689176</v>
      </c>
      <c r="E16" s="17">
        <v>27707756</v>
      </c>
      <c r="F16" s="17">
        <v>26521757</v>
      </c>
      <c r="G16" s="17">
        <v>27148960</v>
      </c>
      <c r="H16" s="17">
        <v>34613536</v>
      </c>
      <c r="I16" s="17">
        <v>34152819</v>
      </c>
      <c r="J16" s="17">
        <v>34842823</v>
      </c>
      <c r="K16" s="17">
        <v>3733052</v>
      </c>
      <c r="L16" s="17">
        <v>3046186</v>
      </c>
      <c r="M16" s="18">
        <f t="shared" si="0"/>
        <v>-18.399582968573704</v>
      </c>
      <c r="N16" s="14">
        <f>Q16-K16</f>
        <v>826737</v>
      </c>
      <c r="O16" s="14">
        <f>R16-L16</f>
        <v>614170</v>
      </c>
      <c r="P16" s="18">
        <f t="shared" si="1"/>
        <v>-25.711562443679192</v>
      </c>
      <c r="Q16" s="17">
        <v>4559789</v>
      </c>
      <c r="R16" s="17">
        <v>3660356</v>
      </c>
      <c r="S16" s="18">
        <f t="shared" si="2"/>
        <v>-19.725320623388498</v>
      </c>
      <c r="T16" s="14">
        <f>W16-Q16</f>
        <v>614894</v>
      </c>
      <c r="U16" s="14">
        <f>X16-R16</f>
        <v>3141878</v>
      </c>
      <c r="V16" s="18">
        <f t="shared" si="66"/>
        <v>410.96253988492322</v>
      </c>
      <c r="W16" s="17">
        <v>5174683</v>
      </c>
      <c r="X16" s="17">
        <v>6802234</v>
      </c>
      <c r="Y16" s="18">
        <f t="shared" si="67"/>
        <v>31.452187505978625</v>
      </c>
      <c r="Z16" s="14">
        <f>AC16-W16</f>
        <v>7398998</v>
      </c>
      <c r="AA16" s="14">
        <f>AD16-X16</f>
        <v>607223</v>
      </c>
      <c r="AB16" s="18">
        <f t="shared" si="68"/>
        <v>-91.793172534983796</v>
      </c>
      <c r="AC16" s="17">
        <v>12573681</v>
      </c>
      <c r="AD16" s="17">
        <v>7409457</v>
      </c>
      <c r="AE16" s="18">
        <f t="shared" si="69"/>
        <v>-41.07169571106504</v>
      </c>
      <c r="AF16" s="14">
        <f>AI16-AC16</f>
        <v>3540572</v>
      </c>
      <c r="AG16" s="14">
        <f>AJ16-AD16</f>
        <v>3416715</v>
      </c>
      <c r="AH16" s="18">
        <f t="shared" si="70"/>
        <v>-3.4982200616171633</v>
      </c>
      <c r="AI16" s="17">
        <v>16114253</v>
      </c>
      <c r="AJ16" s="17">
        <v>10826172</v>
      </c>
      <c r="AK16" s="18">
        <f t="shared" si="71"/>
        <v>-32.816172117938081</v>
      </c>
      <c r="AL16" s="14">
        <f>AO16-AI16</f>
        <v>731321</v>
      </c>
      <c r="AM16" s="14">
        <f>AP16-AJ16</f>
        <v>2793810</v>
      </c>
      <c r="AN16" s="18">
        <f t="shared" si="72"/>
        <v>282.02239509052799</v>
      </c>
      <c r="AO16" s="17">
        <v>16845574</v>
      </c>
      <c r="AP16" s="17">
        <v>13619982</v>
      </c>
      <c r="AQ16" s="18">
        <f t="shared" si="73"/>
        <v>-19.14800884790272</v>
      </c>
      <c r="AR16" s="14">
        <f>AU16-AO16</f>
        <v>3972975</v>
      </c>
      <c r="AS16" s="14">
        <f>AV16-AP16</f>
        <v>3104382</v>
      </c>
      <c r="AT16" s="18">
        <f t="shared" si="74"/>
        <v>-21.862533743605226</v>
      </c>
      <c r="AU16" s="17">
        <v>20818549</v>
      </c>
      <c r="AV16" s="17">
        <v>16724364</v>
      </c>
      <c r="AW16" s="18">
        <f t="shared" si="75"/>
        <v>-19.666043968770353</v>
      </c>
      <c r="AX16" s="14">
        <f>BA16-AU16</f>
        <v>588925</v>
      </c>
      <c r="AY16" s="14">
        <f>BB16-AV16</f>
        <v>337013</v>
      </c>
      <c r="AZ16" s="18">
        <f t="shared" si="76"/>
        <v>-42.77488644564248</v>
      </c>
      <c r="BA16" s="17">
        <v>21407474</v>
      </c>
      <c r="BB16" s="17">
        <v>17061377</v>
      </c>
      <c r="BC16" s="18">
        <f t="shared" si="77"/>
        <v>-20.301774043962407</v>
      </c>
      <c r="BD16" s="14">
        <f>BG16-BA16</f>
        <v>6181205</v>
      </c>
      <c r="BE16" s="14">
        <f>BH16-BB16</f>
        <v>3219191</v>
      </c>
      <c r="BF16" s="18">
        <f t="shared" si="78"/>
        <v>-47.919685562928258</v>
      </c>
      <c r="BG16" s="17">
        <v>27588679</v>
      </c>
      <c r="BH16" s="17">
        <v>20280568</v>
      </c>
      <c r="BI16" s="18">
        <f t="shared" si="79"/>
        <v>-26.489528549010988</v>
      </c>
      <c r="BJ16" s="14">
        <f>BM16-BG16</f>
        <v>739042</v>
      </c>
      <c r="BK16" s="14">
        <f>BN16-BH16</f>
        <v>2967199</v>
      </c>
      <c r="BL16" s="18">
        <f t="shared" si="80"/>
        <v>301.4926079979216</v>
      </c>
      <c r="BM16" s="17">
        <v>28327721</v>
      </c>
      <c r="BN16" s="17">
        <v>23247767</v>
      </c>
      <c r="BO16" s="18">
        <f t="shared" si="81"/>
        <v>-17.932801583297152</v>
      </c>
      <c r="BP16" s="14">
        <f>BS16-BM16</f>
        <v>3316818</v>
      </c>
      <c r="BQ16" s="14">
        <f>BT16-BN16</f>
        <v>2965178</v>
      </c>
      <c r="BR16" s="18">
        <f t="shared" si="82"/>
        <v>-10.601727318170607</v>
      </c>
      <c r="BS16" s="17">
        <v>31644539</v>
      </c>
      <c r="BT16" s="17">
        <v>26212945</v>
      </c>
      <c r="BU16" s="18">
        <f t="shared" si="83"/>
        <v>-17.164396043184571</v>
      </c>
      <c r="BV16" s="14">
        <f>BY16-BS16</f>
        <v>3198284</v>
      </c>
      <c r="BW16" s="14">
        <f>BZ16-BT16</f>
        <v>2696858</v>
      </c>
      <c r="BX16" s="18">
        <f t="shared" si="84"/>
        <v>-15.677969811311321</v>
      </c>
      <c r="BY16" s="17">
        <v>34842823</v>
      </c>
      <c r="BZ16" s="17">
        <v>28909803</v>
      </c>
      <c r="CA16" s="18">
        <f t="shared" si="85"/>
        <v>-17.02795436523613</v>
      </c>
    </row>
    <row r="17" spans="1:79" s="1" customFormat="1" ht="19.5" customHeight="1" thickBot="1">
      <c r="A17" s="153"/>
      <c r="B17" s="121"/>
      <c r="C17" s="41" t="s">
        <v>51</v>
      </c>
      <c r="D17" s="37">
        <f t="shared" ref="D17:L17" si="86">D16/D15</f>
        <v>7.6612733703765909E-2</v>
      </c>
      <c r="E17" s="37">
        <f t="shared" si="86"/>
        <v>9.8039534206490378E-2</v>
      </c>
      <c r="F17" s="37">
        <f t="shared" si="86"/>
        <v>7.2849495905133843E-2</v>
      </c>
      <c r="G17" s="37">
        <f t="shared" si="86"/>
        <v>7.1553808756947709E-2</v>
      </c>
      <c r="H17" s="38">
        <f>H16/H15</f>
        <v>8.4038815187546578E-2</v>
      </c>
      <c r="I17" s="38">
        <f>I16/I15</f>
        <v>9.0599289582993764E-2</v>
      </c>
      <c r="J17" s="38">
        <f>J16/J15</f>
        <v>8.5520876993350009E-2</v>
      </c>
      <c r="K17" s="38">
        <f t="shared" si="86"/>
        <v>8.3506891627325996E-2</v>
      </c>
      <c r="L17" s="38">
        <f t="shared" si="86"/>
        <v>6.7941358456034787E-2</v>
      </c>
      <c r="M17" s="21"/>
      <c r="N17" s="38">
        <f>N16/N15</f>
        <v>0.33255711987127917</v>
      </c>
      <c r="O17" s="38">
        <f>O16/O15</f>
        <v>0.32948769189089144</v>
      </c>
      <c r="P17" s="21"/>
      <c r="Q17" s="38">
        <f>Q16/Q15</f>
        <v>9.6627153656150766E-2</v>
      </c>
      <c r="R17" s="38">
        <f>R16/R15</f>
        <v>7.838099794274174E-2</v>
      </c>
      <c r="S17" s="21"/>
      <c r="T17" s="38">
        <f>T16/T15</f>
        <v>0.33915643046646188</v>
      </c>
      <c r="U17" s="38">
        <f>U16/U15</f>
        <v>6.9776091775069216E-2</v>
      </c>
      <c r="V17" s="21"/>
      <c r="W17" s="38">
        <f>W16/W15</f>
        <v>0.10560032308535906</v>
      </c>
      <c r="X17" s="38">
        <f>X16/X15</f>
        <v>7.4156947529441408E-2</v>
      </c>
      <c r="Y17" s="21"/>
      <c r="Z17" s="38">
        <f>Z16/Z15</f>
        <v>8.442285705601045E-2</v>
      </c>
      <c r="AA17" s="38">
        <f>AA16/AA15</f>
        <v>0.27472921737714118</v>
      </c>
      <c r="AB17" s="21"/>
      <c r="AC17" s="38">
        <f>AC16/AC15</f>
        <v>9.2017369022751622E-2</v>
      </c>
      <c r="AD17" s="38">
        <f>AD16/AD15</f>
        <v>7.887620738809123E-2</v>
      </c>
      <c r="AE17" s="21"/>
      <c r="AF17" s="38">
        <f>AF16/AF15</f>
        <v>7.9232014032810938E-2</v>
      </c>
      <c r="AG17" s="38">
        <f>AG16/AG15</f>
        <v>7.5446962830891348E-2</v>
      </c>
      <c r="AH17" s="21"/>
      <c r="AI17" s="38">
        <f>AI16/AI15</f>
        <v>8.8866618599444919E-2</v>
      </c>
      <c r="AJ17" s="38">
        <f>AJ16/AJ15</f>
        <v>7.7760755103690335E-2</v>
      </c>
      <c r="AK17" s="21"/>
      <c r="AL17" s="38">
        <f>AL16/AL15</f>
        <v>0.3395786522462485</v>
      </c>
      <c r="AM17" s="38">
        <f>AM16/AM15</f>
        <v>6.3432047940997369E-2</v>
      </c>
      <c r="AN17" s="21"/>
      <c r="AO17" s="38">
        <f>AO16/AO15</f>
        <v>9.180930323282542E-2</v>
      </c>
      <c r="AP17" s="38">
        <f>AP16/AP15</f>
        <v>7.4317193107277482E-2</v>
      </c>
      <c r="AQ17" s="21"/>
      <c r="AR17" s="38">
        <f>AR16/AR15</f>
        <v>8.6927032818848088E-2</v>
      </c>
      <c r="AS17" s="38">
        <f>AS16/AS15</f>
        <v>6.9001264474840632E-2</v>
      </c>
      <c r="AT17" s="21"/>
      <c r="AU17" s="38">
        <f>AU16/AU15</f>
        <v>9.0835684674047026E-2</v>
      </c>
      <c r="AV17" s="38">
        <f>AV16/AV15</f>
        <v>7.3269412521690877E-2</v>
      </c>
      <c r="AW17" s="21"/>
      <c r="AX17" s="38">
        <f>AX16/AX15</f>
        <v>0.30574447097912988</v>
      </c>
      <c r="AY17" s="38">
        <f>AY16/AY15</f>
        <v>0.29254524510786867</v>
      </c>
      <c r="AZ17" s="21"/>
      <c r="BA17" s="38">
        <f>BA16/BA15</f>
        <v>9.262681360665595E-2</v>
      </c>
      <c r="BB17" s="38">
        <f>BB16/BB15</f>
        <v>7.4370523615981565E-2</v>
      </c>
      <c r="BC17" s="21"/>
      <c r="BD17" s="38">
        <f>BD16/BD15</f>
        <v>7.3044608911146738E-2</v>
      </c>
      <c r="BE17" s="38">
        <f>BE16/BE15</f>
        <v>6.9819231838387466E-2</v>
      </c>
      <c r="BF17" s="21"/>
      <c r="BG17" s="38">
        <f>BG16/BG15</f>
        <v>8.7378494686373015E-2</v>
      </c>
      <c r="BH17" s="38">
        <f>BH16/BH15</f>
        <v>7.3608871934835299E-2</v>
      </c>
      <c r="BI17" s="21"/>
      <c r="BJ17" s="38">
        <f>BJ16/BJ15</f>
        <v>0.31267245719507708</v>
      </c>
      <c r="BK17" s="38">
        <f>BK16/BK15</f>
        <v>6.5553392706245869E-2</v>
      </c>
      <c r="BL17" s="21"/>
      <c r="BM17" s="38">
        <f>BM16/BM15</f>
        <v>8.9052526298999721E-2</v>
      </c>
      <c r="BN17" s="38">
        <f>BN16/BN15</f>
        <v>7.2472205291799013E-2</v>
      </c>
      <c r="BO17" s="21"/>
      <c r="BP17" s="38">
        <f>BP16/BP15</f>
        <v>7.3626797096321209E-2</v>
      </c>
      <c r="BQ17" s="38">
        <f>BQ16/BQ15</f>
        <v>6.6430592711265168E-2</v>
      </c>
      <c r="BR17" s="21"/>
      <c r="BS17" s="38">
        <f>BS16/BS15</f>
        <v>8.7138953438680972E-2</v>
      </c>
      <c r="BT17" s="38">
        <f>BT16/BT15</f>
        <v>7.1734222737760298E-2</v>
      </c>
      <c r="BU17" s="21"/>
      <c r="BV17" s="38">
        <f>BV16/BV15</f>
        <v>7.2247245982106412E-2</v>
      </c>
      <c r="BW17" s="38">
        <f>BW16/BW15</f>
        <v>6.0720752530271517E-2</v>
      </c>
      <c r="BX17" s="21"/>
      <c r="BY17" s="38">
        <f>BY16/BY15</f>
        <v>8.5520876993350009E-2</v>
      </c>
      <c r="BZ17" s="38">
        <f>BZ16/BZ15</f>
        <v>7.0540675538614789E-2</v>
      </c>
      <c r="CA17" s="21"/>
    </row>
    <row r="18" spans="1:79" s="1" customFormat="1" ht="19.5" customHeight="1">
      <c r="A18" s="151" t="s">
        <v>62</v>
      </c>
      <c r="B18" s="114">
        <v>2607</v>
      </c>
      <c r="C18" s="32" t="s">
        <v>42</v>
      </c>
      <c r="D18" s="14">
        <v>312227772</v>
      </c>
      <c r="E18" s="14">
        <v>227056735</v>
      </c>
      <c r="F18" s="14">
        <v>296268700</v>
      </c>
      <c r="G18" s="14">
        <v>404689942</v>
      </c>
      <c r="H18" s="14">
        <v>384088802</v>
      </c>
      <c r="I18" s="14">
        <v>448381699</v>
      </c>
      <c r="J18" s="14">
        <v>400198383</v>
      </c>
      <c r="K18" s="14">
        <v>39646807</v>
      </c>
      <c r="L18" s="14">
        <v>37032822</v>
      </c>
      <c r="M18" s="15">
        <f t="shared" si="0"/>
        <v>-6.5931791178038601</v>
      </c>
      <c r="N18" s="16">
        <f>Q18-K18</f>
        <v>12198914</v>
      </c>
      <c r="O18" s="14">
        <f>R18-L18</f>
        <v>63388911</v>
      </c>
      <c r="P18" s="15">
        <f t="shared" si="1"/>
        <v>419.6274930702848</v>
      </c>
      <c r="Q18" s="14">
        <v>51845721</v>
      </c>
      <c r="R18" s="14">
        <v>100421733</v>
      </c>
      <c r="S18" s="15">
        <f t="shared" si="2"/>
        <v>93.693386962445757</v>
      </c>
      <c r="T18" s="16">
        <f>W18-Q18</f>
        <v>35132631</v>
      </c>
      <c r="U18" s="14">
        <f>X18-R18</f>
        <v>59175300</v>
      </c>
      <c r="V18" s="15">
        <f t="shared" ref="V18:V19" si="87">(U18/T18-1)*100</f>
        <v>68.434012243489533</v>
      </c>
      <c r="W18" s="14">
        <v>86978352</v>
      </c>
      <c r="X18" s="14">
        <v>159597033</v>
      </c>
      <c r="Y18" s="15">
        <f t="shared" ref="Y18:Y19" si="88">(X18/W18-1)*100</f>
        <v>83.490523021176585</v>
      </c>
      <c r="Z18" s="16">
        <f>AC18-W18</f>
        <v>29618842</v>
      </c>
      <c r="AA18" s="14">
        <f>AD18-X18</f>
        <v>51330661</v>
      </c>
      <c r="AB18" s="15">
        <f t="shared" ref="AB18:AB19" si="89">(AA18/Z18-1)*100</f>
        <v>73.304077856926341</v>
      </c>
      <c r="AC18" s="14">
        <v>116597194</v>
      </c>
      <c r="AD18" s="14">
        <v>210927694</v>
      </c>
      <c r="AE18" s="15">
        <f t="shared" ref="AE18:AE19" si="90">(AD18/AC18-1)*100</f>
        <v>80.902890338853268</v>
      </c>
      <c r="AF18" s="16">
        <f>AI18-AC18</f>
        <v>22754936</v>
      </c>
      <c r="AG18" s="14">
        <f>AJ18-AD18</f>
        <v>42015664</v>
      </c>
      <c r="AH18" s="15">
        <f t="shared" ref="AH18:AH19" si="91">(AG18/AF18-1)*100</f>
        <v>84.644175663688955</v>
      </c>
      <c r="AI18" s="14">
        <v>139352130</v>
      </c>
      <c r="AJ18" s="14">
        <v>252943358</v>
      </c>
      <c r="AK18" s="15">
        <f t="shared" ref="AK18:AK19" si="92">(AJ18/AI18-1)*100</f>
        <v>81.513808220943588</v>
      </c>
      <c r="AL18" s="16">
        <f>AO18-AI18</f>
        <v>34914975</v>
      </c>
      <c r="AM18" s="14">
        <f>AP18-AJ18</f>
        <v>59193138</v>
      </c>
      <c r="AN18" s="15">
        <f t="shared" ref="AN18:AN19" si="93">(AM18/AL18-1)*100</f>
        <v>69.535100626593604</v>
      </c>
      <c r="AO18" s="14">
        <v>174267105</v>
      </c>
      <c r="AP18" s="14">
        <v>312136496</v>
      </c>
      <c r="AQ18" s="15">
        <f t="shared" ref="AQ18:AQ19" si="94">(AP18/AO18-1)*100</f>
        <v>79.113835626063803</v>
      </c>
      <c r="AR18" s="16">
        <f>AU18-AO18</f>
        <v>22477038</v>
      </c>
      <c r="AS18" s="14">
        <f>AV18-AP18</f>
        <v>72732041</v>
      </c>
      <c r="AT18" s="15">
        <f t="shared" ref="AT18:AT19" si="95">(AS18/AR18-1)*100</f>
        <v>223.58374355197515</v>
      </c>
      <c r="AU18" s="14">
        <v>196744143</v>
      </c>
      <c r="AV18" s="14">
        <v>384868537</v>
      </c>
      <c r="AW18" s="15">
        <f t="shared" ref="AW18:AW19" si="96">(AV18/AU18-1)*100</f>
        <v>95.618802741182492</v>
      </c>
      <c r="AX18" s="16">
        <f>BA18-AU18</f>
        <v>39924937</v>
      </c>
      <c r="AY18" s="14">
        <f>BB18-AV18</f>
        <v>56981211</v>
      </c>
      <c r="AZ18" s="15">
        <f t="shared" ref="AZ18:AZ19" si="97">(AY18/AX18-1)*100</f>
        <v>42.720853886381825</v>
      </c>
      <c r="BA18" s="14">
        <v>236669080</v>
      </c>
      <c r="BB18" s="14">
        <v>441849748</v>
      </c>
      <c r="BC18" s="15">
        <f t="shared" ref="BC18:BC19" si="98">(BB18/BA18-1)*100</f>
        <v>86.695172854857077</v>
      </c>
      <c r="BD18" s="16">
        <f>BG18-BA18</f>
        <v>37245211</v>
      </c>
      <c r="BE18" s="14">
        <f>BH18-BB18</f>
        <v>39230507</v>
      </c>
      <c r="BF18" s="15">
        <f t="shared" ref="BF18:BF19" si="99">(BE18/BD18-1)*100</f>
        <v>5.3303389796878875</v>
      </c>
      <c r="BG18" s="14">
        <v>273914291</v>
      </c>
      <c r="BH18" s="14">
        <v>481080255</v>
      </c>
      <c r="BI18" s="15">
        <f t="shared" ref="BI18:BI19" si="100">(BH18/BG18-1)*100</f>
        <v>75.631674142916467</v>
      </c>
      <c r="BJ18" s="16">
        <f>BM18-BG18</f>
        <v>47810866</v>
      </c>
      <c r="BK18" s="14">
        <f>BN18-BH18</f>
        <v>67399408</v>
      </c>
      <c r="BL18" s="15">
        <f t="shared" ref="BL18:BL19" si="101">(BK18/BJ18-1)*100</f>
        <v>40.970899795038228</v>
      </c>
      <c r="BM18" s="14">
        <v>321725157</v>
      </c>
      <c r="BN18" s="14">
        <v>548479663</v>
      </c>
      <c r="BO18" s="15">
        <f t="shared" ref="BO18:BO19" si="102">(BN18/BM18-1)*100</f>
        <v>70.480812913240726</v>
      </c>
      <c r="BP18" s="16">
        <f>BS18-BM18</f>
        <v>29224602</v>
      </c>
      <c r="BQ18" s="14">
        <f>BT18-BN18</f>
        <v>58475540</v>
      </c>
      <c r="BR18" s="15">
        <f t="shared" ref="BR18:BR19" si="103">(BQ18/BP18-1)*100</f>
        <v>100.09011585512782</v>
      </c>
      <c r="BS18" s="14">
        <v>350949759</v>
      </c>
      <c r="BT18" s="14">
        <v>606955203</v>
      </c>
      <c r="BU18" s="15">
        <f t="shared" ref="BU18:BU19" si="104">(BT18/BS18-1)*100</f>
        <v>72.946465251739909</v>
      </c>
      <c r="BV18" s="16">
        <f>BY18-BS18</f>
        <v>49248624</v>
      </c>
      <c r="BW18" s="14">
        <f>BZ18-BT18</f>
        <v>26716374</v>
      </c>
      <c r="BX18" s="15">
        <f t="shared" ref="BX18:BX19" si="105">(BW18/BV18-1)*100</f>
        <v>-45.752039691504883</v>
      </c>
      <c r="BY18" s="14">
        <v>400198383</v>
      </c>
      <c r="BZ18" s="14">
        <v>633671577</v>
      </c>
      <c r="CA18" s="15">
        <f t="shared" ref="CA18:CA19" si="106">(BZ18/BY18-1)*100</f>
        <v>58.339364654554338</v>
      </c>
    </row>
    <row r="19" spans="1:79" s="1" customFormat="1" ht="19.5" customHeight="1">
      <c r="A19" s="152"/>
      <c r="B19" s="120"/>
      <c r="C19" s="33" t="s">
        <v>50</v>
      </c>
      <c r="D19" s="17">
        <v>644637960</v>
      </c>
      <c r="E19" s="17">
        <v>737650591</v>
      </c>
      <c r="F19" s="17">
        <v>1455861701</v>
      </c>
      <c r="G19" s="17">
        <v>1820444483</v>
      </c>
      <c r="H19" s="17">
        <v>1329555091</v>
      </c>
      <c r="I19" s="17">
        <v>1531361222</v>
      </c>
      <c r="J19" s="17">
        <v>1139598416</v>
      </c>
      <c r="K19" s="17">
        <v>90203858</v>
      </c>
      <c r="L19" s="17">
        <v>84139152</v>
      </c>
      <c r="M19" s="18">
        <f t="shared" si="0"/>
        <v>-6.7233332747253405</v>
      </c>
      <c r="N19" s="14">
        <f>Q19-K19</f>
        <v>30056516</v>
      </c>
      <c r="O19" s="14">
        <f>R19-L19</f>
        <v>148266134</v>
      </c>
      <c r="P19" s="18">
        <f t="shared" si="1"/>
        <v>393.29115190862439</v>
      </c>
      <c r="Q19" s="17">
        <v>120260374</v>
      </c>
      <c r="R19" s="17">
        <v>232405286</v>
      </c>
      <c r="S19" s="18">
        <f t="shared" si="2"/>
        <v>93.251757224703141</v>
      </c>
      <c r="T19" s="14">
        <f>W19-Q19</f>
        <v>95227869</v>
      </c>
      <c r="U19" s="14">
        <f>X19-R19</f>
        <v>108454152</v>
      </c>
      <c r="V19" s="18">
        <f t="shared" si="87"/>
        <v>13.889088497822</v>
      </c>
      <c r="W19" s="17">
        <v>215488243</v>
      </c>
      <c r="X19" s="17">
        <v>340859438</v>
      </c>
      <c r="Y19" s="18">
        <f t="shared" si="88"/>
        <v>58.1800627517298</v>
      </c>
      <c r="Z19" s="14">
        <f>AC19-W19</f>
        <v>77533509</v>
      </c>
      <c r="AA19" s="14">
        <f>AD19-X19</f>
        <v>162256133</v>
      </c>
      <c r="AB19" s="18">
        <f t="shared" si="89"/>
        <v>109.27226832981339</v>
      </c>
      <c r="AC19" s="17">
        <v>293021752</v>
      </c>
      <c r="AD19" s="17">
        <v>503115571</v>
      </c>
      <c r="AE19" s="18">
        <f t="shared" si="90"/>
        <v>71.699052225993114</v>
      </c>
      <c r="AF19" s="14">
        <f>AI19-AC19</f>
        <v>104188349</v>
      </c>
      <c r="AG19" s="14">
        <f>AJ19-AD19</f>
        <v>79838784</v>
      </c>
      <c r="AH19" s="18">
        <f t="shared" si="91"/>
        <v>-23.370717775746698</v>
      </c>
      <c r="AI19" s="17">
        <v>397210101</v>
      </c>
      <c r="AJ19" s="17">
        <v>582954355</v>
      </c>
      <c r="AK19" s="18">
        <f t="shared" si="92"/>
        <v>46.762218164235449</v>
      </c>
      <c r="AL19" s="14">
        <f>AO19-AI19</f>
        <v>111888548</v>
      </c>
      <c r="AM19" s="14">
        <f>AP19-AJ19</f>
        <v>111923932</v>
      </c>
      <c r="AN19" s="18">
        <f t="shared" si="93"/>
        <v>3.1624326736290342E-2</v>
      </c>
      <c r="AO19" s="17">
        <v>509098649</v>
      </c>
      <c r="AP19" s="17">
        <v>694878287</v>
      </c>
      <c r="AQ19" s="18">
        <f t="shared" si="94"/>
        <v>36.491874092559229</v>
      </c>
      <c r="AR19" s="14">
        <f>AU19-AO19</f>
        <v>90463305</v>
      </c>
      <c r="AS19" s="14">
        <f>AV19-AP19</f>
        <v>181907719</v>
      </c>
      <c r="AT19" s="18">
        <f t="shared" si="95"/>
        <v>101.08453808978126</v>
      </c>
      <c r="AU19" s="17">
        <v>599561954</v>
      </c>
      <c r="AV19" s="17">
        <v>876786006</v>
      </c>
      <c r="AW19" s="18">
        <f t="shared" si="96"/>
        <v>46.237765780581874</v>
      </c>
      <c r="AX19" s="14">
        <f>BA19-AU19</f>
        <v>72976429</v>
      </c>
      <c r="AY19" s="14">
        <f>BB19-AV19</f>
        <v>135363677</v>
      </c>
      <c r="AZ19" s="18">
        <f t="shared" si="97"/>
        <v>85.489587329629416</v>
      </c>
      <c r="BA19" s="17">
        <v>672538383</v>
      </c>
      <c r="BB19" s="17">
        <v>1012149683</v>
      </c>
      <c r="BC19" s="18">
        <f t="shared" si="98"/>
        <v>50.49693944382652</v>
      </c>
      <c r="BD19" s="14">
        <f>BG19-BA19</f>
        <v>108292107</v>
      </c>
      <c r="BE19" s="14">
        <f>BH19-BB19</f>
        <v>118227650</v>
      </c>
      <c r="BF19" s="18">
        <f t="shared" si="99"/>
        <v>9.1747619242462441</v>
      </c>
      <c r="BG19" s="17">
        <v>780830490</v>
      </c>
      <c r="BH19" s="17">
        <v>1130377333</v>
      </c>
      <c r="BI19" s="18">
        <f t="shared" si="100"/>
        <v>44.766034046646922</v>
      </c>
      <c r="BJ19" s="14">
        <f>BM19-BG19</f>
        <v>122818969</v>
      </c>
      <c r="BK19" s="14">
        <f>BN19-BH19</f>
        <v>200503429</v>
      </c>
      <c r="BL19" s="18">
        <f t="shared" si="101"/>
        <v>63.251190457395865</v>
      </c>
      <c r="BM19" s="17">
        <v>903649459</v>
      </c>
      <c r="BN19" s="17">
        <v>1330880762</v>
      </c>
      <c r="BO19" s="18">
        <f t="shared" si="102"/>
        <v>47.27843288621942</v>
      </c>
      <c r="BP19" s="14">
        <f>BS19-BM19</f>
        <v>65014685</v>
      </c>
      <c r="BQ19" s="14">
        <f>BT19-BN19</f>
        <v>136727012</v>
      </c>
      <c r="BR19" s="18">
        <f t="shared" si="103"/>
        <v>110.3017372152153</v>
      </c>
      <c r="BS19" s="17">
        <v>968664144</v>
      </c>
      <c r="BT19" s="17">
        <v>1467607774</v>
      </c>
      <c r="BU19" s="18">
        <f t="shared" si="104"/>
        <v>51.508423542928213</v>
      </c>
      <c r="BV19" s="14">
        <f>BY19-BS19</f>
        <v>170934272</v>
      </c>
      <c r="BW19" s="14">
        <f>BZ19-BT19</f>
        <v>130112634</v>
      </c>
      <c r="BX19" s="18">
        <f t="shared" si="105"/>
        <v>-23.881482351298168</v>
      </c>
      <c r="BY19" s="17">
        <v>1139598416</v>
      </c>
      <c r="BZ19" s="17">
        <v>1597720408</v>
      </c>
      <c r="CA19" s="18">
        <f t="shared" si="106"/>
        <v>40.200300875111083</v>
      </c>
    </row>
    <row r="20" spans="1:79" s="1" customFormat="1" ht="19.5" customHeight="1" thickBot="1">
      <c r="A20" s="153"/>
      <c r="B20" s="121"/>
      <c r="C20" s="41" t="s">
        <v>51</v>
      </c>
      <c r="D20" s="37">
        <f t="shared" ref="D20:L20" si="107">D19/D18</f>
        <v>2.0646400410531065</v>
      </c>
      <c r="E20" s="37">
        <f t="shared" si="107"/>
        <v>3.2487501020394749</v>
      </c>
      <c r="F20" s="37">
        <f t="shared" si="107"/>
        <v>4.9139909177040977</v>
      </c>
      <c r="G20" s="37">
        <f t="shared" si="107"/>
        <v>4.498368489227242</v>
      </c>
      <c r="H20" s="38">
        <f>H19/H18</f>
        <v>3.4615825404876031</v>
      </c>
      <c r="I20" s="38">
        <f>I19/I18</f>
        <v>3.4153071488316922</v>
      </c>
      <c r="J20" s="38">
        <f>J19/J18</f>
        <v>2.847583759477609</v>
      </c>
      <c r="K20" s="38">
        <f t="shared" si="107"/>
        <v>2.2751859437255564</v>
      </c>
      <c r="L20" s="38">
        <f t="shared" si="107"/>
        <v>2.2720156730156833</v>
      </c>
      <c r="M20" s="21"/>
      <c r="N20" s="38">
        <f>N19/N18</f>
        <v>2.4638681771180613</v>
      </c>
      <c r="O20" s="38">
        <f>O19/O18</f>
        <v>2.3389916573894132</v>
      </c>
      <c r="P20" s="21"/>
      <c r="Q20" s="38">
        <f>Q19/Q18</f>
        <v>2.3195814752002386</v>
      </c>
      <c r="R20" s="38">
        <f>R19/R18</f>
        <v>2.3142927238668545</v>
      </c>
      <c r="S20" s="21"/>
      <c r="T20" s="38">
        <f>T19/T18</f>
        <v>2.7105248394291905</v>
      </c>
      <c r="U20" s="38">
        <f>U19/U18</f>
        <v>1.8327604929759544</v>
      </c>
      <c r="V20" s="21"/>
      <c r="W20" s="38">
        <f>W19/W18</f>
        <v>2.4774928248812991</v>
      </c>
      <c r="X20" s="38">
        <f>X19/X18</f>
        <v>2.1357504684939852</v>
      </c>
      <c r="Y20" s="21"/>
      <c r="Z20" s="38">
        <f>Z19/Z18</f>
        <v>2.6177089907836368</v>
      </c>
      <c r="AA20" s="38">
        <f>AA19/AA18</f>
        <v>3.1609983163863795</v>
      </c>
      <c r="AB20" s="21"/>
      <c r="AC20" s="38">
        <f>AC19/AC18</f>
        <v>2.5131115247936413</v>
      </c>
      <c r="AD20" s="38">
        <f>AD19/AD18</f>
        <v>2.3852513695996693</v>
      </c>
      <c r="AE20" s="21"/>
      <c r="AF20" s="38">
        <f>AF19/AF18</f>
        <v>4.5787142183128973</v>
      </c>
      <c r="AG20" s="38">
        <f>AG19/AG18</f>
        <v>1.9002147389602126</v>
      </c>
      <c r="AH20" s="21"/>
      <c r="AI20" s="38">
        <f>AI19/AI18</f>
        <v>2.8504056665656994</v>
      </c>
      <c r="AJ20" s="38">
        <f>AJ19/AJ18</f>
        <v>2.3046833868632359</v>
      </c>
      <c r="AK20" s="21"/>
      <c r="AL20" s="38">
        <f>AL19/AL18</f>
        <v>3.204600547472825</v>
      </c>
      <c r="AM20" s="38">
        <f>AM19/AM18</f>
        <v>1.8908261292043682</v>
      </c>
      <c r="AN20" s="21"/>
      <c r="AO20" s="38">
        <f>AO19/AO18</f>
        <v>2.9213697501889411</v>
      </c>
      <c r="AP20" s="38">
        <f>AP19/AP18</f>
        <v>2.2262000628084198</v>
      </c>
      <c r="AQ20" s="21"/>
      <c r="AR20" s="38">
        <f>AR19/AR18</f>
        <v>4.0246986724852265</v>
      </c>
      <c r="AS20" s="38">
        <f>AS19/AS18</f>
        <v>2.5010671569081913</v>
      </c>
      <c r="AT20" s="21"/>
      <c r="AU20" s="38">
        <f>AU19/AU18</f>
        <v>3.0474195818881378</v>
      </c>
      <c r="AV20" s="38">
        <f>AV19/AV18</f>
        <v>2.2781441497775643</v>
      </c>
      <c r="AW20" s="21"/>
      <c r="AX20" s="38">
        <f>AX19/AX18</f>
        <v>1.8278408053593171</v>
      </c>
      <c r="AY20" s="38">
        <f>AY19/AY18</f>
        <v>2.3755844185199924</v>
      </c>
      <c r="AZ20" s="21"/>
      <c r="BA20" s="38">
        <f>BA19/BA18</f>
        <v>2.8416825003080248</v>
      </c>
      <c r="BB20" s="38">
        <f>BB19/BB18</f>
        <v>2.2907101058253856</v>
      </c>
      <c r="BC20" s="21"/>
      <c r="BD20" s="38">
        <f>BD19/BD18</f>
        <v>2.9075444625619116</v>
      </c>
      <c r="BE20" s="38">
        <f>BE19/BE18</f>
        <v>3.0136661246819982</v>
      </c>
      <c r="BF20" s="21"/>
      <c r="BG20" s="38">
        <f>BG19/BG18</f>
        <v>2.8506380121656374</v>
      </c>
      <c r="BH20" s="38">
        <f>BH19/BH18</f>
        <v>2.3496647830620279</v>
      </c>
      <c r="BI20" s="21"/>
      <c r="BJ20" s="38">
        <f>BJ19/BJ18</f>
        <v>2.5688505412137901</v>
      </c>
      <c r="BK20" s="38">
        <f>BK19/BK18</f>
        <v>2.9748544527275373</v>
      </c>
      <c r="BL20" s="21"/>
      <c r="BM20" s="38">
        <f>BM19/BM18</f>
        <v>2.8087621976045845</v>
      </c>
      <c r="BN20" s="38">
        <f>BN19/BN18</f>
        <v>2.4264906281493248</v>
      </c>
      <c r="BO20" s="21"/>
      <c r="BP20" s="38">
        <f>BP19/BP18</f>
        <v>2.2246559593865469</v>
      </c>
      <c r="BQ20" s="38">
        <f>BQ19/BQ18</f>
        <v>2.3381915241825899</v>
      </c>
      <c r="BR20" s="21"/>
      <c r="BS20" s="38">
        <f>BS19/BS18</f>
        <v>2.76012198087875</v>
      </c>
      <c r="BT20" s="38">
        <f>BT19/BT18</f>
        <v>2.4179836777838775</v>
      </c>
      <c r="BU20" s="21"/>
      <c r="BV20" s="38">
        <f>BV19/BV18</f>
        <v>3.470843611793093</v>
      </c>
      <c r="BW20" s="38">
        <f>BW19/BW18</f>
        <v>4.8701457016584664</v>
      </c>
      <c r="BX20" s="21"/>
      <c r="BY20" s="38">
        <f>BY19/BY18</f>
        <v>2.847583759477609</v>
      </c>
      <c r="BZ20" s="38">
        <f>BZ19/BZ18</f>
        <v>2.5213698483433795</v>
      </c>
      <c r="CA20" s="21"/>
    </row>
    <row r="21" spans="1:79" s="1" customFormat="1" ht="19.5" customHeight="1">
      <c r="A21" s="151" t="s">
        <v>63</v>
      </c>
      <c r="B21" s="114">
        <v>2608</v>
      </c>
      <c r="C21" s="32" t="s">
        <v>42</v>
      </c>
      <c r="D21" s="14">
        <v>1342234105</v>
      </c>
      <c r="E21" s="14">
        <v>1420397733</v>
      </c>
      <c r="F21" s="14">
        <v>1722143090</v>
      </c>
      <c r="G21" s="14">
        <v>1821020110</v>
      </c>
      <c r="H21" s="14">
        <v>1773491752</v>
      </c>
      <c r="I21" s="14">
        <v>1784819215</v>
      </c>
      <c r="J21" s="14">
        <v>1903143907</v>
      </c>
      <c r="K21" s="14">
        <v>239338974</v>
      </c>
      <c r="L21" s="14">
        <v>136296899</v>
      </c>
      <c r="M21" s="15">
        <f t="shared" si="0"/>
        <v>-43.052777104325678</v>
      </c>
      <c r="N21" s="16">
        <f>Q21-K21</f>
        <v>117989839</v>
      </c>
      <c r="O21" s="14">
        <f>R21-L21</f>
        <v>166747414</v>
      </c>
      <c r="P21" s="15">
        <f t="shared" si="1"/>
        <v>41.323537190350777</v>
      </c>
      <c r="Q21" s="14">
        <v>357328813</v>
      </c>
      <c r="R21" s="14">
        <v>303044313</v>
      </c>
      <c r="S21" s="15">
        <f t="shared" si="2"/>
        <v>-15.191750014292859</v>
      </c>
      <c r="T21" s="16">
        <f>W21-Q21</f>
        <v>151957850</v>
      </c>
      <c r="U21" s="14">
        <f>X21-R21</f>
        <v>163975214</v>
      </c>
      <c r="V21" s="15">
        <f t="shared" ref="V21:V22" si="108">(U21/T21-1)*100</f>
        <v>7.9083535335620958</v>
      </c>
      <c r="W21" s="14">
        <v>509286663</v>
      </c>
      <c r="X21" s="14">
        <v>467019527</v>
      </c>
      <c r="Y21" s="15">
        <f t="shared" ref="Y21:Y22" si="109">(X21/W21-1)*100</f>
        <v>-8.2992819311272665</v>
      </c>
      <c r="Z21" s="16">
        <f>AC21-W21</f>
        <v>170024610</v>
      </c>
      <c r="AA21" s="14">
        <f>AD21-X21</f>
        <v>130642341</v>
      </c>
      <c r="AB21" s="15">
        <f t="shared" ref="AB21:AB22" si="110">(AA21/Z21-1)*100</f>
        <v>-23.16268744859935</v>
      </c>
      <c r="AC21" s="14">
        <v>679311273</v>
      </c>
      <c r="AD21" s="14">
        <v>597661868</v>
      </c>
      <c r="AE21" s="15">
        <f t="shared" ref="AE21:AE22" si="111">(AD21/AC21-1)*100</f>
        <v>-12.019439135672938</v>
      </c>
      <c r="AF21" s="16">
        <f>AI21-AC21</f>
        <v>147687374</v>
      </c>
      <c r="AG21" s="14">
        <f>AJ21-AD21</f>
        <v>121681842</v>
      </c>
      <c r="AH21" s="15">
        <f t="shared" ref="AH21:AH22" si="112">(AG21/AF21-1)*100</f>
        <v>-17.608500507294554</v>
      </c>
      <c r="AI21" s="14">
        <v>826998647</v>
      </c>
      <c r="AJ21" s="14">
        <v>719343710</v>
      </c>
      <c r="AK21" s="15">
        <f t="shared" ref="AK21:AK22" si="113">(AJ21/AI21-1)*100</f>
        <v>-13.017546931972191</v>
      </c>
      <c r="AL21" s="16">
        <f>AO21-AI21</f>
        <v>117750634</v>
      </c>
      <c r="AM21" s="14">
        <f>AP21-AJ21</f>
        <v>176414867</v>
      </c>
      <c r="AN21" s="15">
        <f t="shared" ref="AN21:AN22" si="114">(AM21/AL21-1)*100</f>
        <v>49.820736421682454</v>
      </c>
      <c r="AO21" s="14">
        <v>944749281</v>
      </c>
      <c r="AP21" s="14">
        <v>895758577</v>
      </c>
      <c r="AQ21" s="15">
        <f t="shared" ref="AQ21:AQ22" si="115">(AP21/AO21-1)*100</f>
        <v>-5.1855772727494642</v>
      </c>
      <c r="AR21" s="16">
        <f>AU21-AO21</f>
        <v>181569431</v>
      </c>
      <c r="AS21" s="14">
        <f>AV21-AP21</f>
        <v>206030708</v>
      </c>
      <c r="AT21" s="15">
        <f t="shared" ref="AT21:AT22" si="116">(AS21/AR21-1)*100</f>
        <v>13.472133973917666</v>
      </c>
      <c r="AU21" s="14">
        <v>1126318712</v>
      </c>
      <c r="AV21" s="14">
        <v>1101789285</v>
      </c>
      <c r="AW21" s="15">
        <f t="shared" ref="AW21:AW22" si="117">(AV21/AU21-1)*100</f>
        <v>-2.1778406714422105</v>
      </c>
      <c r="AX21" s="16">
        <f>BA21-AU21</f>
        <v>134070889</v>
      </c>
      <c r="AY21" s="14">
        <f>BB21-AV21</f>
        <v>169955720</v>
      </c>
      <c r="AZ21" s="15">
        <f t="shared" ref="AZ21:AZ22" si="118">(AY21/AX21-1)*100</f>
        <v>26.765565043728468</v>
      </c>
      <c r="BA21" s="14">
        <v>1260389601</v>
      </c>
      <c r="BB21" s="14">
        <v>1271745005</v>
      </c>
      <c r="BC21" s="15">
        <f t="shared" ref="BC21:BC22" si="119">(BB21/BA21-1)*100</f>
        <v>0.9009439613743675</v>
      </c>
      <c r="BD21" s="16">
        <f>BG21-BA21</f>
        <v>150617743</v>
      </c>
      <c r="BE21" s="14">
        <f>BH21-BB21</f>
        <v>177469284</v>
      </c>
      <c r="BF21" s="15">
        <f t="shared" ref="BF21:BF22" si="120">(BE21/BD21-1)*100</f>
        <v>17.827608132462846</v>
      </c>
      <c r="BG21" s="14">
        <v>1411007344</v>
      </c>
      <c r="BH21" s="14">
        <v>1449214289</v>
      </c>
      <c r="BI21" s="15">
        <f t="shared" ref="BI21:BI22" si="121">(BH21/BG21-1)*100</f>
        <v>2.7077778980007849</v>
      </c>
      <c r="BJ21" s="16">
        <f>BM21-BG21</f>
        <v>139526788</v>
      </c>
      <c r="BK21" s="14">
        <f>BN21-BH21</f>
        <v>190301771</v>
      </c>
      <c r="BL21" s="15">
        <f t="shared" ref="BL21:BL22" si="122">(BK21/BJ21-1)*100</f>
        <v>36.390849189476086</v>
      </c>
      <c r="BM21" s="14">
        <v>1550534132</v>
      </c>
      <c r="BN21" s="14">
        <v>1639516060</v>
      </c>
      <c r="BO21" s="15">
        <f t="shared" ref="BO21:BO22" si="123">(BN21/BM21-1)*100</f>
        <v>5.738791953275113</v>
      </c>
      <c r="BP21" s="16">
        <f>BS21-BM21</f>
        <v>181906814</v>
      </c>
      <c r="BQ21" s="14">
        <f>BT21-BN21</f>
        <v>145155870</v>
      </c>
      <c r="BR21" s="15">
        <f t="shared" ref="BR21:BR22" si="124">(BQ21/BP21-1)*100</f>
        <v>-20.203170618996168</v>
      </c>
      <c r="BS21" s="14">
        <v>1732440946</v>
      </c>
      <c r="BT21" s="14">
        <v>1784671930</v>
      </c>
      <c r="BU21" s="15">
        <f t="shared" ref="BU21:BU22" si="125">(BT21/BS21-1)*100</f>
        <v>3.0148781764016253</v>
      </c>
      <c r="BV21" s="16">
        <f>BY21-BS21</f>
        <v>170702961</v>
      </c>
      <c r="BW21" s="14">
        <f>BZ21-BT21</f>
        <v>126303278</v>
      </c>
      <c r="BX21" s="15">
        <f t="shared" ref="BX21:BX22" si="126">(BW21/BV21-1)*100</f>
        <v>-26.00990793592619</v>
      </c>
      <c r="BY21" s="14">
        <v>1903143907</v>
      </c>
      <c r="BZ21" s="14">
        <v>1910975208</v>
      </c>
      <c r="CA21" s="15">
        <f t="shared" ref="CA21:CA22" si="127">(BZ21/BY21-1)*100</f>
        <v>0.41149284461334812</v>
      </c>
    </row>
    <row r="22" spans="1:79" s="1" customFormat="1" ht="19.5" customHeight="1">
      <c r="A22" s="152"/>
      <c r="B22" s="120"/>
      <c r="C22" s="33" t="s">
        <v>50</v>
      </c>
      <c r="D22" s="17">
        <v>741768219</v>
      </c>
      <c r="E22" s="17">
        <v>1086921072</v>
      </c>
      <c r="F22" s="17">
        <v>1513196376</v>
      </c>
      <c r="G22" s="17">
        <v>1393858495</v>
      </c>
      <c r="H22" s="17">
        <v>1247851263</v>
      </c>
      <c r="I22" s="17">
        <v>1433843723</v>
      </c>
      <c r="J22" s="17">
        <v>1252934912</v>
      </c>
      <c r="K22" s="17">
        <v>161919826</v>
      </c>
      <c r="L22" s="17">
        <v>71322414</v>
      </c>
      <c r="M22" s="18">
        <f t="shared" si="0"/>
        <v>-55.952019118399996</v>
      </c>
      <c r="N22" s="14">
        <f>Q22-K22</f>
        <v>82746922</v>
      </c>
      <c r="O22" s="14">
        <f>R22-L22</f>
        <v>89669471</v>
      </c>
      <c r="P22" s="18">
        <f t="shared" si="1"/>
        <v>8.3659293091288731</v>
      </c>
      <c r="Q22" s="17">
        <v>244666748</v>
      </c>
      <c r="R22" s="17">
        <v>160991885</v>
      </c>
      <c r="S22" s="18">
        <f t="shared" si="2"/>
        <v>-34.19952391732447</v>
      </c>
      <c r="T22" s="14">
        <f>W22-Q22</f>
        <v>120240783</v>
      </c>
      <c r="U22" s="14">
        <f>X22-R22</f>
        <v>83800915</v>
      </c>
      <c r="V22" s="18">
        <f t="shared" si="108"/>
        <v>-30.305747426811081</v>
      </c>
      <c r="W22" s="17">
        <v>364907531</v>
      </c>
      <c r="X22" s="17">
        <v>244792800</v>
      </c>
      <c r="Y22" s="18">
        <f t="shared" si="109"/>
        <v>-32.916484532625333</v>
      </c>
      <c r="Z22" s="14">
        <f>AC22-W22</f>
        <v>128080634</v>
      </c>
      <c r="AA22" s="14">
        <f>AD22-X22</f>
        <v>73981624</v>
      </c>
      <c r="AB22" s="18">
        <f t="shared" si="110"/>
        <v>-42.238243449044766</v>
      </c>
      <c r="AC22" s="17">
        <v>492988165</v>
      </c>
      <c r="AD22" s="17">
        <v>318774424</v>
      </c>
      <c r="AE22" s="18">
        <f t="shared" si="111"/>
        <v>-35.338321154220807</v>
      </c>
      <c r="AF22" s="14">
        <f>AI22-AC22</f>
        <v>111238211</v>
      </c>
      <c r="AG22" s="14">
        <f>AJ22-AD22</f>
        <v>77018446</v>
      </c>
      <c r="AH22" s="18">
        <f t="shared" si="112"/>
        <v>-30.762599193545103</v>
      </c>
      <c r="AI22" s="17">
        <v>604226376</v>
      </c>
      <c r="AJ22" s="17">
        <v>395792870</v>
      </c>
      <c r="AK22" s="18">
        <f t="shared" si="113"/>
        <v>-34.495929717573269</v>
      </c>
      <c r="AL22" s="14">
        <f>AO22-AI22</f>
        <v>80315920</v>
      </c>
      <c r="AM22" s="14">
        <f>AP22-AJ22</f>
        <v>120887891</v>
      </c>
      <c r="AN22" s="18">
        <f t="shared" si="114"/>
        <v>50.515478126876957</v>
      </c>
      <c r="AO22" s="17">
        <v>684542296</v>
      </c>
      <c r="AP22" s="17">
        <v>516680761</v>
      </c>
      <c r="AQ22" s="18">
        <f t="shared" si="115"/>
        <v>-24.521718523584113</v>
      </c>
      <c r="AR22" s="14">
        <f>AU22-AO22</f>
        <v>114739993</v>
      </c>
      <c r="AS22" s="14">
        <f>AV22-AP22</f>
        <v>152207789</v>
      </c>
      <c r="AT22" s="18">
        <f t="shared" si="116"/>
        <v>32.654521776029746</v>
      </c>
      <c r="AU22" s="17">
        <v>799282289</v>
      </c>
      <c r="AV22" s="17">
        <v>668888550</v>
      </c>
      <c r="AW22" s="18">
        <f t="shared" si="117"/>
        <v>-16.31385316483599</v>
      </c>
      <c r="AX22" s="14">
        <f>BA22-AU22</f>
        <v>78475920</v>
      </c>
      <c r="AY22" s="14">
        <f>BB22-AV22</f>
        <v>137645038</v>
      </c>
      <c r="AZ22" s="18">
        <f t="shared" si="118"/>
        <v>75.397801006984054</v>
      </c>
      <c r="BA22" s="17">
        <v>877758209</v>
      </c>
      <c r="BB22" s="17">
        <v>806533588</v>
      </c>
      <c r="BC22" s="18">
        <f t="shared" si="119"/>
        <v>-8.1143782273644387</v>
      </c>
      <c r="BD22" s="14">
        <f>BG22-BA22</f>
        <v>95601242</v>
      </c>
      <c r="BE22" s="14">
        <f>BH22-BB22</f>
        <v>140163145</v>
      </c>
      <c r="BF22" s="18">
        <f t="shared" si="120"/>
        <v>46.612263677494894</v>
      </c>
      <c r="BG22" s="17">
        <v>973359451</v>
      </c>
      <c r="BH22" s="17">
        <v>946696733</v>
      </c>
      <c r="BI22" s="18">
        <f t="shared" si="121"/>
        <v>-2.7392468396549186</v>
      </c>
      <c r="BJ22" s="14">
        <f>BM22-BG22</f>
        <v>77261771</v>
      </c>
      <c r="BK22" s="14">
        <f>BN22-BH22</f>
        <v>164765766</v>
      </c>
      <c r="BL22" s="18">
        <f t="shared" si="122"/>
        <v>113.25652242685456</v>
      </c>
      <c r="BM22" s="17">
        <v>1050621222</v>
      </c>
      <c r="BN22" s="17">
        <v>1111462499</v>
      </c>
      <c r="BO22" s="18">
        <f t="shared" si="123"/>
        <v>5.7909811572414593</v>
      </c>
      <c r="BP22" s="14">
        <f>BS22-BM22</f>
        <v>110298682</v>
      </c>
      <c r="BQ22" s="14">
        <f>BT22-BN22</f>
        <v>116853554</v>
      </c>
      <c r="BR22" s="18">
        <f t="shared" si="124"/>
        <v>5.94283801142792</v>
      </c>
      <c r="BS22" s="17">
        <v>1160919904</v>
      </c>
      <c r="BT22" s="17">
        <v>1228316053</v>
      </c>
      <c r="BU22" s="18">
        <f t="shared" si="125"/>
        <v>5.8054090353506504</v>
      </c>
      <c r="BV22" s="14">
        <f>BY22-BS22</f>
        <v>92015008</v>
      </c>
      <c r="BW22" s="14">
        <f>BZ22-BT22</f>
        <v>135844980</v>
      </c>
      <c r="BX22" s="18">
        <f t="shared" si="126"/>
        <v>47.63350343891728</v>
      </c>
      <c r="BY22" s="17">
        <v>1252934912</v>
      </c>
      <c r="BZ22" s="17">
        <v>1364161033</v>
      </c>
      <c r="CA22" s="18">
        <f t="shared" si="127"/>
        <v>8.8772465301054648</v>
      </c>
    </row>
    <row r="23" spans="1:79" s="1" customFormat="1" ht="19.5" customHeight="1" thickBot="1">
      <c r="A23" s="153"/>
      <c r="B23" s="121"/>
      <c r="C23" s="41" t="s">
        <v>51</v>
      </c>
      <c r="D23" s="37">
        <f t="shared" ref="D23:L23" si="128">D22/D21</f>
        <v>0.55263699248649323</v>
      </c>
      <c r="E23" s="37">
        <f t="shared" si="128"/>
        <v>0.76522304052424162</v>
      </c>
      <c r="F23" s="37">
        <f t="shared" si="128"/>
        <v>0.87867052673306023</v>
      </c>
      <c r="G23" s="37">
        <f t="shared" si="128"/>
        <v>0.76542729393581488</v>
      </c>
      <c r="H23" s="38">
        <f>H22/H21</f>
        <v>0.70361266783043941</v>
      </c>
      <c r="I23" s="38">
        <f>I22/I21</f>
        <v>0.80335515829820336</v>
      </c>
      <c r="J23" s="38">
        <f>J22/J21</f>
        <v>0.6583500634878684</v>
      </c>
      <c r="K23" s="38">
        <f t="shared" si="128"/>
        <v>0.67652928937516044</v>
      </c>
      <c r="L23" s="38">
        <f t="shared" si="128"/>
        <v>0.52328713656207249</v>
      </c>
      <c r="M23" s="21"/>
      <c r="N23" s="38">
        <f>N22/N21</f>
        <v>0.70130549122963037</v>
      </c>
      <c r="O23" s="38">
        <f>O22/O21</f>
        <v>0.53775629168078132</v>
      </c>
      <c r="P23" s="21"/>
      <c r="Q23" s="38">
        <f>Q22/Q21</f>
        <v>0.68471038186332878</v>
      </c>
      <c r="R23" s="38">
        <f>R22/R21</f>
        <v>0.5312486593338579</v>
      </c>
      <c r="S23" s="21"/>
      <c r="T23" s="38">
        <f>T22/T21</f>
        <v>0.7912772061463097</v>
      </c>
      <c r="U23" s="38">
        <f>U22/U21</f>
        <v>0.51105842740354646</v>
      </c>
      <c r="V23" s="21"/>
      <c r="W23" s="38">
        <f>W22/W21</f>
        <v>0.71650714128361148</v>
      </c>
      <c r="X23" s="38">
        <f>X22/X21</f>
        <v>0.5241596675249941</v>
      </c>
      <c r="Y23" s="21"/>
      <c r="Z23" s="38">
        <f>Z22/Z21</f>
        <v>0.75330644193214147</v>
      </c>
      <c r="AA23" s="38">
        <f>AA22/AA21</f>
        <v>0.56629132204543087</v>
      </c>
      <c r="AB23" s="21"/>
      <c r="AC23" s="38">
        <f>AC22/AC21</f>
        <v>0.72571762694713882</v>
      </c>
      <c r="AD23" s="38">
        <f>AD22/AD21</f>
        <v>0.53336918593575056</v>
      </c>
      <c r="AE23" s="21"/>
      <c r="AF23" s="38">
        <f>AF22/AF21</f>
        <v>0.7532005478003827</v>
      </c>
      <c r="AG23" s="38">
        <f>AG22/AG21</f>
        <v>0.63294937629231485</v>
      </c>
      <c r="AH23" s="21"/>
      <c r="AI23" s="38">
        <f>AI22/AI21</f>
        <v>0.7306255919424739</v>
      </c>
      <c r="AJ23" s="38">
        <f>AJ22/AJ21</f>
        <v>0.55021384700785114</v>
      </c>
      <c r="AK23" s="21"/>
      <c r="AL23" s="38">
        <f>AL22/AL21</f>
        <v>0.68208482002738091</v>
      </c>
      <c r="AM23" s="38">
        <f>AM22/AM21</f>
        <v>0.68524775182354669</v>
      </c>
      <c r="AN23" s="21"/>
      <c r="AO23" s="38">
        <f>AO22/AO21</f>
        <v>0.72457561997340114</v>
      </c>
      <c r="AP23" s="38">
        <f>AP22/AP21</f>
        <v>0.57680805327080897</v>
      </c>
      <c r="AQ23" s="21"/>
      <c r="AR23" s="38">
        <f>AR22/AR21</f>
        <v>0.63193452977225006</v>
      </c>
      <c r="AS23" s="38">
        <f>AS22/AS21</f>
        <v>0.73876263629594474</v>
      </c>
      <c r="AT23" s="21"/>
      <c r="AU23" s="38">
        <f>AU22/AU21</f>
        <v>0.70964131243164497</v>
      </c>
      <c r="AV23" s="38">
        <f>AV22/AV21</f>
        <v>0.60709298874693629</v>
      </c>
      <c r="AW23" s="21"/>
      <c r="AX23" s="38">
        <f>AX22/AX21</f>
        <v>0.58533154054046732</v>
      </c>
      <c r="AY23" s="38">
        <f>AY22/AY21</f>
        <v>0.80988764602921282</v>
      </c>
      <c r="AZ23" s="21"/>
      <c r="BA23" s="38">
        <f>BA22/BA21</f>
        <v>0.69641816173632487</v>
      </c>
      <c r="BB23" s="38">
        <f>BB22/BB21</f>
        <v>0.63419442170327223</v>
      </c>
      <c r="BC23" s="21"/>
      <c r="BD23" s="38">
        <f>BD22/BD21</f>
        <v>0.63472762302645847</v>
      </c>
      <c r="BE23" s="38">
        <f>BE22/BE21</f>
        <v>0.78978819230487229</v>
      </c>
      <c r="BF23" s="21"/>
      <c r="BG23" s="38">
        <f>BG22/BG21</f>
        <v>0.68983301549704756</v>
      </c>
      <c r="BH23" s="38">
        <f>BH22/BH21</f>
        <v>0.65324827403768448</v>
      </c>
      <c r="BI23" s="21"/>
      <c r="BJ23" s="38">
        <f>BJ22/BJ21</f>
        <v>0.55374148654522171</v>
      </c>
      <c r="BK23" s="38">
        <f>BK22/BK21</f>
        <v>0.86581309850237809</v>
      </c>
      <c r="BL23" s="21"/>
      <c r="BM23" s="38">
        <f>BM22/BM21</f>
        <v>0.67758664599329177</v>
      </c>
      <c r="BN23" s="38">
        <f>BN22/BN21</f>
        <v>0.67792108056568834</v>
      </c>
      <c r="BO23" s="21"/>
      <c r="BP23" s="38">
        <f>BP22/BP21</f>
        <v>0.60634717070026856</v>
      </c>
      <c r="BQ23" s="38">
        <f>BQ22/BQ21</f>
        <v>0.80502120926973186</v>
      </c>
      <c r="BR23" s="21"/>
      <c r="BS23" s="38">
        <f>BS22/BS21</f>
        <v>0.67010647992384731</v>
      </c>
      <c r="BT23" s="38">
        <f>BT22/BT21</f>
        <v>0.68825873952082606</v>
      </c>
      <c r="BU23" s="21"/>
      <c r="BV23" s="38">
        <f>BV22/BV21</f>
        <v>0.5390358050086782</v>
      </c>
      <c r="BW23" s="38">
        <f>BW22/BW21</f>
        <v>1.0755459569307457</v>
      </c>
      <c r="BX23" s="21"/>
      <c r="BY23" s="38">
        <f>BY22/BY21</f>
        <v>0.6583500634878684</v>
      </c>
      <c r="BZ23" s="38">
        <f>BZ22/BZ21</f>
        <v>0.71385595547715763</v>
      </c>
      <c r="CA23" s="21"/>
    </row>
    <row r="24" spans="1:79" s="1" customFormat="1" ht="19.5" customHeight="1">
      <c r="A24" s="151" t="s">
        <v>64</v>
      </c>
      <c r="B24" s="114">
        <v>2609</v>
      </c>
      <c r="C24" s="32" t="s">
        <v>42</v>
      </c>
      <c r="D24" s="14">
        <v>0</v>
      </c>
      <c r="E24" s="14">
        <v>90100</v>
      </c>
      <c r="F24" s="14">
        <v>241083</v>
      </c>
      <c r="G24" s="14">
        <v>140</v>
      </c>
      <c r="H24" s="14">
        <v>78</v>
      </c>
      <c r="I24" s="14">
        <v>27</v>
      </c>
      <c r="J24" s="14">
        <v>200</v>
      </c>
      <c r="K24" s="14">
        <v>0</v>
      </c>
      <c r="L24" s="14">
        <v>2</v>
      </c>
      <c r="M24" s="15" t="e">
        <f t="shared" si="0"/>
        <v>#DIV/0!</v>
      </c>
      <c r="N24" s="16">
        <f>Q24-K24</f>
        <v>0</v>
      </c>
      <c r="O24" s="14">
        <f>R24-L24</f>
        <v>0</v>
      </c>
      <c r="P24" s="15" t="e">
        <f t="shared" si="1"/>
        <v>#DIV/0!</v>
      </c>
      <c r="Q24" s="14">
        <v>0</v>
      </c>
      <c r="R24" s="14">
        <v>2</v>
      </c>
      <c r="S24" s="15" t="e">
        <f t="shared" si="2"/>
        <v>#DIV/0!</v>
      </c>
      <c r="T24" s="16">
        <f>W24-Q24</f>
        <v>0</v>
      </c>
      <c r="U24" s="14">
        <f>X24-R24</f>
        <v>0</v>
      </c>
      <c r="V24" s="15" t="e">
        <f t="shared" ref="V24:V25" si="129">(U24/T24-1)*100</f>
        <v>#DIV/0!</v>
      </c>
      <c r="W24" s="14">
        <v>0</v>
      </c>
      <c r="X24" s="14">
        <v>2</v>
      </c>
      <c r="Y24" s="15" t="e">
        <f t="shared" ref="Y24:Y25" si="130">(X24/W24-1)*100</f>
        <v>#DIV/0!</v>
      </c>
      <c r="Z24" s="16">
        <f>AC24-W24</f>
        <v>0</v>
      </c>
      <c r="AA24" s="14">
        <f>AD24-X24</f>
        <v>0</v>
      </c>
      <c r="AB24" s="15" t="e">
        <f t="shared" ref="AB24:AB25" si="131">(AA24/Z24-1)*100</f>
        <v>#DIV/0!</v>
      </c>
      <c r="AC24" s="14">
        <v>0</v>
      </c>
      <c r="AD24" s="14">
        <v>2</v>
      </c>
      <c r="AE24" s="15" t="e">
        <f t="shared" ref="AE24:AE25" si="132">(AD24/AC24-1)*100</f>
        <v>#DIV/0!</v>
      </c>
      <c r="AF24" s="16">
        <f>AI24-AC24</f>
        <v>0</v>
      </c>
      <c r="AG24" s="14">
        <f>AJ24-AD24</f>
        <v>0</v>
      </c>
      <c r="AH24" s="15" t="e">
        <f t="shared" ref="AH24:AH25" si="133">(AG24/AF24-1)*100</f>
        <v>#DIV/0!</v>
      </c>
      <c r="AI24" s="14">
        <v>0</v>
      </c>
      <c r="AJ24" s="14">
        <v>2</v>
      </c>
      <c r="AK24" s="15" t="e">
        <f t="shared" ref="AK24:AK25" si="134">(AJ24/AI24-1)*100</f>
        <v>#DIV/0!</v>
      </c>
      <c r="AL24" s="16">
        <f>AO24-AI24</f>
        <v>0</v>
      </c>
      <c r="AM24" s="14">
        <f>AP24-AJ24</f>
        <v>0</v>
      </c>
      <c r="AN24" s="15" t="e">
        <f t="shared" ref="AN24:AN25" si="135">(AM24/AL24-1)*100</f>
        <v>#DIV/0!</v>
      </c>
      <c r="AO24" s="14">
        <v>0</v>
      </c>
      <c r="AP24" s="14">
        <v>2</v>
      </c>
      <c r="AQ24" s="15" t="e">
        <f t="shared" ref="AQ24:AQ25" si="136">(AP24/AO24-1)*100</f>
        <v>#DIV/0!</v>
      </c>
      <c r="AR24" s="16">
        <f>AU24-AO24</f>
        <v>0</v>
      </c>
      <c r="AS24" s="14">
        <f>AV24-AP24</f>
        <v>0</v>
      </c>
      <c r="AT24" s="15" t="e">
        <f t="shared" ref="AT24:AT25" si="137">(AS24/AR24-1)*100</f>
        <v>#DIV/0!</v>
      </c>
      <c r="AU24" s="14">
        <v>0</v>
      </c>
      <c r="AV24" s="14">
        <v>2</v>
      </c>
      <c r="AW24" s="15" t="e">
        <f t="shared" ref="AW24:AW25" si="138">(AV24/AU24-1)*100</f>
        <v>#DIV/0!</v>
      </c>
      <c r="AX24" s="16">
        <f>BA24-AU24</f>
        <v>0</v>
      </c>
      <c r="AY24" s="14">
        <f>BB24-AV24</f>
        <v>0</v>
      </c>
      <c r="AZ24" s="15" t="e">
        <f t="shared" ref="AZ24:AZ25" si="139">(AY24/AX24-1)*100</f>
        <v>#DIV/0!</v>
      </c>
      <c r="BA24" s="14">
        <v>0</v>
      </c>
      <c r="BB24" s="14">
        <v>2</v>
      </c>
      <c r="BC24" s="15" t="e">
        <f t="shared" ref="BC24:BC25" si="140">(BB24/BA24-1)*100</f>
        <v>#DIV/0!</v>
      </c>
      <c r="BD24" s="16">
        <f>BG24-BA24</f>
        <v>0</v>
      </c>
      <c r="BE24" s="14">
        <f>BH24-BB24</f>
        <v>0</v>
      </c>
      <c r="BF24" s="15" t="e">
        <f t="shared" ref="BF24:BF25" si="141">(BE24/BD24-1)*100</f>
        <v>#DIV/0!</v>
      </c>
      <c r="BG24" s="14">
        <v>0</v>
      </c>
      <c r="BH24" s="14">
        <v>2</v>
      </c>
      <c r="BI24" s="15" t="e">
        <f t="shared" ref="BI24:BI25" si="142">(BH24/BG24-1)*100</f>
        <v>#DIV/0!</v>
      </c>
      <c r="BJ24" s="16">
        <f>BM24-BG24</f>
        <v>0</v>
      </c>
      <c r="BK24" s="14">
        <f>BN24-BH24</f>
        <v>0</v>
      </c>
      <c r="BL24" s="15" t="e">
        <f t="shared" ref="BL24:BL25" si="143">(BK24/BJ24-1)*100</f>
        <v>#DIV/0!</v>
      </c>
      <c r="BM24" s="14">
        <v>0</v>
      </c>
      <c r="BN24" s="14">
        <v>2</v>
      </c>
      <c r="BO24" s="15" t="e">
        <f t="shared" ref="BO24:BO25" si="144">(BN24/BM24-1)*100</f>
        <v>#DIV/0!</v>
      </c>
      <c r="BP24" s="16">
        <f>BS24-BM24</f>
        <v>0</v>
      </c>
      <c r="BQ24" s="14">
        <f>BT24-BN24</f>
        <v>0</v>
      </c>
      <c r="BR24" s="15" t="e">
        <f t="shared" ref="BR24:BR25" si="145">(BQ24/BP24-1)*100</f>
        <v>#DIV/0!</v>
      </c>
      <c r="BS24" s="14">
        <v>0</v>
      </c>
      <c r="BT24" s="14">
        <v>2</v>
      </c>
      <c r="BU24" s="15" t="e">
        <f t="shared" ref="BU24:BU25" si="146">(BT24/BS24-1)*100</f>
        <v>#DIV/0!</v>
      </c>
      <c r="BV24" s="16">
        <f>BY24-BS24</f>
        <v>200</v>
      </c>
      <c r="BW24" s="14">
        <f>BZ24-BT24</f>
        <v>0</v>
      </c>
      <c r="BX24" s="15">
        <f t="shared" ref="BX24:BX25" si="147">(BW24/BV24-1)*100</f>
        <v>-100</v>
      </c>
      <c r="BY24" s="14">
        <v>200</v>
      </c>
      <c r="BZ24" s="14">
        <v>2</v>
      </c>
      <c r="CA24" s="15">
        <f t="shared" ref="CA24:CA25" si="148">(BZ24/BY24-1)*100</f>
        <v>-99</v>
      </c>
    </row>
    <row r="25" spans="1:79" s="1" customFormat="1" ht="19.5" customHeight="1">
      <c r="A25" s="152"/>
      <c r="B25" s="120"/>
      <c r="C25" s="33" t="s">
        <v>50</v>
      </c>
      <c r="D25" s="17">
        <v>22</v>
      </c>
      <c r="E25" s="17">
        <v>598436</v>
      </c>
      <c r="F25" s="17">
        <v>687012</v>
      </c>
      <c r="G25" s="17">
        <v>3438</v>
      </c>
      <c r="H25" s="17">
        <v>1172</v>
      </c>
      <c r="I25" s="17">
        <v>172</v>
      </c>
      <c r="J25" s="17">
        <v>2216</v>
      </c>
      <c r="K25" s="17">
        <v>295</v>
      </c>
      <c r="L25" s="17">
        <v>1302</v>
      </c>
      <c r="M25" s="18">
        <f t="shared" si="0"/>
        <v>341.35593220338984</v>
      </c>
      <c r="N25" s="14">
        <f>Q25-K25</f>
        <v>0</v>
      </c>
      <c r="O25" s="14">
        <f>R25-L25</f>
        <v>0</v>
      </c>
      <c r="P25" s="18" t="e">
        <f t="shared" si="1"/>
        <v>#DIV/0!</v>
      </c>
      <c r="Q25" s="17">
        <v>295</v>
      </c>
      <c r="R25" s="17">
        <v>1302</v>
      </c>
      <c r="S25" s="18">
        <f t="shared" si="2"/>
        <v>341.35593220338984</v>
      </c>
      <c r="T25" s="14">
        <f>W25-Q25</f>
        <v>0</v>
      </c>
      <c r="U25" s="14">
        <f>X25-R25</f>
        <v>0</v>
      </c>
      <c r="V25" s="18" t="e">
        <f t="shared" si="129"/>
        <v>#DIV/0!</v>
      </c>
      <c r="W25" s="17">
        <v>295</v>
      </c>
      <c r="X25" s="17">
        <v>1302</v>
      </c>
      <c r="Y25" s="18">
        <f t="shared" si="130"/>
        <v>341.35593220338984</v>
      </c>
      <c r="Z25" s="14">
        <f>AC25-W25</f>
        <v>0</v>
      </c>
      <c r="AA25" s="14">
        <f>AD25-X25</f>
        <v>0</v>
      </c>
      <c r="AB25" s="18" t="e">
        <f t="shared" si="131"/>
        <v>#DIV/0!</v>
      </c>
      <c r="AC25" s="17">
        <v>295</v>
      </c>
      <c r="AD25" s="17">
        <v>1302</v>
      </c>
      <c r="AE25" s="18">
        <f t="shared" si="132"/>
        <v>341.35593220338984</v>
      </c>
      <c r="AF25" s="14">
        <f>AI25-AC25</f>
        <v>0</v>
      </c>
      <c r="AG25" s="14">
        <f>AJ25-AD25</f>
        <v>0</v>
      </c>
      <c r="AH25" s="18" t="e">
        <f t="shared" si="133"/>
        <v>#DIV/0!</v>
      </c>
      <c r="AI25" s="17">
        <v>295</v>
      </c>
      <c r="AJ25" s="17">
        <v>1302</v>
      </c>
      <c r="AK25" s="18">
        <f t="shared" si="134"/>
        <v>341.35593220338984</v>
      </c>
      <c r="AL25" s="14">
        <f>AO25-AI25</f>
        <v>0</v>
      </c>
      <c r="AM25" s="14">
        <f>AP25-AJ25</f>
        <v>0</v>
      </c>
      <c r="AN25" s="18" t="e">
        <f t="shared" si="135"/>
        <v>#DIV/0!</v>
      </c>
      <c r="AO25" s="17">
        <v>295</v>
      </c>
      <c r="AP25" s="17">
        <v>1302</v>
      </c>
      <c r="AQ25" s="18">
        <f t="shared" si="136"/>
        <v>341.35593220338984</v>
      </c>
      <c r="AR25" s="14">
        <f>AU25-AO25</f>
        <v>0</v>
      </c>
      <c r="AS25" s="14">
        <f>AV25-AP25</f>
        <v>0</v>
      </c>
      <c r="AT25" s="18" t="e">
        <f t="shared" si="137"/>
        <v>#DIV/0!</v>
      </c>
      <c r="AU25" s="17">
        <v>295</v>
      </c>
      <c r="AV25" s="17">
        <v>1302</v>
      </c>
      <c r="AW25" s="18">
        <f t="shared" si="138"/>
        <v>341.35593220338984</v>
      </c>
      <c r="AX25" s="14">
        <f>BA25-AU25</f>
        <v>0</v>
      </c>
      <c r="AY25" s="14">
        <f>BB25-AV25</f>
        <v>0</v>
      </c>
      <c r="AZ25" s="18" t="e">
        <f t="shared" si="139"/>
        <v>#DIV/0!</v>
      </c>
      <c r="BA25" s="17">
        <v>295</v>
      </c>
      <c r="BB25" s="17">
        <v>1302</v>
      </c>
      <c r="BC25" s="18">
        <f t="shared" si="140"/>
        <v>341.35593220338984</v>
      </c>
      <c r="BD25" s="14">
        <f>BG25-BA25</f>
        <v>0</v>
      </c>
      <c r="BE25" s="14">
        <f>BH25-BB25</f>
        <v>0</v>
      </c>
      <c r="BF25" s="18" t="e">
        <f t="shared" si="141"/>
        <v>#DIV/0!</v>
      </c>
      <c r="BG25" s="17">
        <v>295</v>
      </c>
      <c r="BH25" s="17">
        <v>1302</v>
      </c>
      <c r="BI25" s="18">
        <f t="shared" si="142"/>
        <v>341.35593220338984</v>
      </c>
      <c r="BJ25" s="14">
        <f>BM25-BG25</f>
        <v>1365</v>
      </c>
      <c r="BK25" s="14">
        <f>BN25-BH25</f>
        <v>0</v>
      </c>
      <c r="BL25" s="18">
        <f t="shared" si="143"/>
        <v>-100</v>
      </c>
      <c r="BM25" s="17">
        <v>1660</v>
      </c>
      <c r="BN25" s="17">
        <v>1302</v>
      </c>
      <c r="BO25" s="18">
        <f t="shared" si="144"/>
        <v>-21.566265060240962</v>
      </c>
      <c r="BP25" s="14">
        <f>BS25-BM25</f>
        <v>0</v>
      </c>
      <c r="BQ25" s="14">
        <f>BT25-BN25</f>
        <v>0</v>
      </c>
      <c r="BR25" s="18" t="e">
        <f t="shared" si="145"/>
        <v>#DIV/0!</v>
      </c>
      <c r="BS25" s="17">
        <v>1660</v>
      </c>
      <c r="BT25" s="17">
        <v>1302</v>
      </c>
      <c r="BU25" s="18">
        <f t="shared" si="146"/>
        <v>-21.566265060240962</v>
      </c>
      <c r="BV25" s="14">
        <f>BY25-BS25</f>
        <v>556</v>
      </c>
      <c r="BW25" s="14">
        <f>BZ25-BT25</f>
        <v>212</v>
      </c>
      <c r="BX25" s="18">
        <f t="shared" si="147"/>
        <v>-61.870503597122294</v>
      </c>
      <c r="BY25" s="17">
        <v>2216</v>
      </c>
      <c r="BZ25" s="17">
        <v>1514</v>
      </c>
      <c r="CA25" s="18">
        <f t="shared" si="148"/>
        <v>-31.678700361010826</v>
      </c>
    </row>
    <row r="26" spans="1:79" s="1" customFormat="1" ht="19.5" customHeight="1" thickBot="1">
      <c r="A26" s="153"/>
      <c r="B26" s="121"/>
      <c r="C26" s="41" t="s">
        <v>51</v>
      </c>
      <c r="D26" s="37" t="e">
        <f t="shared" ref="D26:L26" si="149">D25/D24</f>
        <v>#DIV/0!</v>
      </c>
      <c r="E26" s="37">
        <f t="shared" si="149"/>
        <v>6.6419089900110988</v>
      </c>
      <c r="F26" s="37">
        <f t="shared" si="149"/>
        <v>2.8496907703985763</v>
      </c>
      <c r="G26" s="37">
        <f t="shared" si="149"/>
        <v>24.557142857142857</v>
      </c>
      <c r="H26" s="38">
        <f>H25/H24</f>
        <v>15.025641025641026</v>
      </c>
      <c r="I26" s="38">
        <f>I25/I24</f>
        <v>6.3703703703703702</v>
      </c>
      <c r="J26" s="38">
        <f>J25/J24</f>
        <v>11.08</v>
      </c>
      <c r="K26" s="38" t="e">
        <f t="shared" si="149"/>
        <v>#DIV/0!</v>
      </c>
      <c r="L26" s="38">
        <f t="shared" si="149"/>
        <v>651</v>
      </c>
      <c r="M26" s="21"/>
      <c r="N26" s="38" t="e">
        <f>N25/N24</f>
        <v>#DIV/0!</v>
      </c>
      <c r="O26" s="38" t="e">
        <f>O25/O24</f>
        <v>#DIV/0!</v>
      </c>
      <c r="P26" s="21"/>
      <c r="Q26" s="38" t="e">
        <f>Q25/Q24</f>
        <v>#DIV/0!</v>
      </c>
      <c r="R26" s="38">
        <f>R25/R24</f>
        <v>651</v>
      </c>
      <c r="S26" s="21"/>
      <c r="T26" s="38" t="e">
        <f>T25/T24</f>
        <v>#DIV/0!</v>
      </c>
      <c r="U26" s="38" t="e">
        <f>U25/U24</f>
        <v>#DIV/0!</v>
      </c>
      <c r="V26" s="21"/>
      <c r="W26" s="38" t="e">
        <f>W25/W24</f>
        <v>#DIV/0!</v>
      </c>
      <c r="X26" s="38">
        <f>X25/X24</f>
        <v>651</v>
      </c>
      <c r="Y26" s="21"/>
      <c r="Z26" s="38" t="e">
        <f>Z25/Z24</f>
        <v>#DIV/0!</v>
      </c>
      <c r="AA26" s="38" t="e">
        <f>AA25/AA24</f>
        <v>#DIV/0!</v>
      </c>
      <c r="AB26" s="21"/>
      <c r="AC26" s="38" t="e">
        <f>AC25/AC24</f>
        <v>#DIV/0!</v>
      </c>
      <c r="AD26" s="38">
        <f>AD25/AD24</f>
        <v>651</v>
      </c>
      <c r="AE26" s="21"/>
      <c r="AF26" s="38" t="e">
        <f>AF25/AF24</f>
        <v>#DIV/0!</v>
      </c>
      <c r="AG26" s="38" t="e">
        <f>AG25/AG24</f>
        <v>#DIV/0!</v>
      </c>
      <c r="AH26" s="21"/>
      <c r="AI26" s="38" t="e">
        <f>AI25/AI24</f>
        <v>#DIV/0!</v>
      </c>
      <c r="AJ26" s="38">
        <f>AJ25/AJ24</f>
        <v>651</v>
      </c>
      <c r="AK26" s="21"/>
      <c r="AL26" s="38" t="e">
        <f>AL25/AL24</f>
        <v>#DIV/0!</v>
      </c>
      <c r="AM26" s="38" t="e">
        <f>AM25/AM24</f>
        <v>#DIV/0!</v>
      </c>
      <c r="AN26" s="21"/>
      <c r="AO26" s="38" t="e">
        <f>AO25/AO24</f>
        <v>#DIV/0!</v>
      </c>
      <c r="AP26" s="38">
        <f>AP25/AP24</f>
        <v>651</v>
      </c>
      <c r="AQ26" s="21"/>
      <c r="AR26" s="38" t="e">
        <f>AR25/AR24</f>
        <v>#DIV/0!</v>
      </c>
      <c r="AS26" s="38" t="e">
        <f>AS25/AS24</f>
        <v>#DIV/0!</v>
      </c>
      <c r="AT26" s="21"/>
      <c r="AU26" s="38" t="e">
        <f>AU25/AU24</f>
        <v>#DIV/0!</v>
      </c>
      <c r="AV26" s="38">
        <f>AV25/AV24</f>
        <v>651</v>
      </c>
      <c r="AW26" s="21"/>
      <c r="AX26" s="38" t="e">
        <f>AX25/AX24</f>
        <v>#DIV/0!</v>
      </c>
      <c r="AY26" s="38" t="e">
        <f>AY25/AY24</f>
        <v>#DIV/0!</v>
      </c>
      <c r="AZ26" s="21"/>
      <c r="BA26" s="38" t="e">
        <f>BA25/BA24</f>
        <v>#DIV/0!</v>
      </c>
      <c r="BB26" s="38">
        <f>BB25/BB24</f>
        <v>651</v>
      </c>
      <c r="BC26" s="21"/>
      <c r="BD26" s="38" t="e">
        <f>BD25/BD24</f>
        <v>#DIV/0!</v>
      </c>
      <c r="BE26" s="38" t="e">
        <f>BE25/BE24</f>
        <v>#DIV/0!</v>
      </c>
      <c r="BF26" s="21"/>
      <c r="BG26" s="38" t="e">
        <f>BG25/BG24</f>
        <v>#DIV/0!</v>
      </c>
      <c r="BH26" s="38">
        <f>BH25/BH24</f>
        <v>651</v>
      </c>
      <c r="BI26" s="21"/>
      <c r="BJ26" s="38" t="e">
        <f>BJ25/BJ24</f>
        <v>#DIV/0!</v>
      </c>
      <c r="BK26" s="38" t="e">
        <f>BK25/BK24</f>
        <v>#DIV/0!</v>
      </c>
      <c r="BL26" s="21"/>
      <c r="BM26" s="38" t="e">
        <f>BM25/BM24</f>
        <v>#DIV/0!</v>
      </c>
      <c r="BN26" s="38">
        <f>BN25/BN24</f>
        <v>651</v>
      </c>
      <c r="BO26" s="21"/>
      <c r="BP26" s="38" t="e">
        <f>BP25/BP24</f>
        <v>#DIV/0!</v>
      </c>
      <c r="BQ26" s="38" t="e">
        <f>BQ25/BQ24</f>
        <v>#DIV/0!</v>
      </c>
      <c r="BR26" s="21"/>
      <c r="BS26" s="38" t="e">
        <f>BS25/BS24</f>
        <v>#DIV/0!</v>
      </c>
      <c r="BT26" s="38">
        <f>BT25/BT24</f>
        <v>651</v>
      </c>
      <c r="BU26" s="21"/>
      <c r="BV26" s="38">
        <f>BV25/BV24</f>
        <v>2.78</v>
      </c>
      <c r="BW26" s="38" t="e">
        <f>BW25/BW24</f>
        <v>#DIV/0!</v>
      </c>
      <c r="BX26" s="21"/>
      <c r="BY26" s="38">
        <f>BY25/BY24</f>
        <v>11.08</v>
      </c>
      <c r="BZ26" s="38">
        <f>BZ25/BZ24</f>
        <v>757</v>
      </c>
      <c r="CA26" s="21"/>
    </row>
    <row r="27" spans="1:79" s="1" customFormat="1" ht="19.5" customHeight="1">
      <c r="A27" s="151" t="s">
        <v>65</v>
      </c>
      <c r="B27" s="114">
        <v>2610</v>
      </c>
      <c r="C27" s="32" t="s">
        <v>42</v>
      </c>
      <c r="D27" s="14">
        <v>11237134</v>
      </c>
      <c r="E27" s="14">
        <v>21999738</v>
      </c>
      <c r="F27" s="14">
        <v>5941757</v>
      </c>
      <c r="G27" s="14">
        <v>203138</v>
      </c>
      <c r="H27" s="14">
        <v>105081</v>
      </c>
      <c r="I27" s="14">
        <v>81661</v>
      </c>
      <c r="J27" s="14">
        <v>264691</v>
      </c>
      <c r="K27" s="14">
        <v>3014</v>
      </c>
      <c r="L27" s="14">
        <v>23001</v>
      </c>
      <c r="M27" s="15">
        <f t="shared" si="0"/>
        <v>663.13868613138686</v>
      </c>
      <c r="N27" s="16">
        <f>Q27-K27</f>
        <v>0</v>
      </c>
      <c r="O27" s="14">
        <f>R27-L27</f>
        <v>3013</v>
      </c>
      <c r="P27" s="15" t="e">
        <f t="shared" si="1"/>
        <v>#DIV/0!</v>
      </c>
      <c r="Q27" s="14">
        <v>3014</v>
      </c>
      <c r="R27" s="14">
        <v>26014</v>
      </c>
      <c r="S27" s="15">
        <f t="shared" si="2"/>
        <v>763.10550763105505</v>
      </c>
      <c r="T27" s="16">
        <f>W27-Q27</f>
        <v>23001</v>
      </c>
      <c r="U27" s="14">
        <f>X27-R27</f>
        <v>26300</v>
      </c>
      <c r="V27" s="15">
        <f t="shared" ref="V27:V28" si="150">(U27/T27-1)*100</f>
        <v>14.342854658493099</v>
      </c>
      <c r="W27" s="14">
        <v>26015</v>
      </c>
      <c r="X27" s="14">
        <v>52314</v>
      </c>
      <c r="Y27" s="15">
        <f t="shared" ref="Y27:Y28" si="151">(X27/W27-1)*100</f>
        <v>101.09167787814721</v>
      </c>
      <c r="Z27" s="16">
        <f>AC27-W27</f>
        <v>6013</v>
      </c>
      <c r="AA27" s="14">
        <f>AD27-X27</f>
        <v>45375</v>
      </c>
      <c r="AB27" s="15">
        <f t="shared" ref="AB27:AB28" si="152">(AA27/Z27-1)*100</f>
        <v>654.61500083153169</v>
      </c>
      <c r="AC27" s="14">
        <v>32028</v>
      </c>
      <c r="AD27" s="14">
        <v>97689</v>
      </c>
      <c r="AE27" s="15">
        <f t="shared" ref="AE27:AE28" si="153">(AD27/AC27-1)*100</f>
        <v>205.01124016485574</v>
      </c>
      <c r="AF27" s="16">
        <f>AI27-AC27</f>
        <v>5</v>
      </c>
      <c r="AG27" s="14">
        <f>AJ27-AD27</f>
        <v>6000</v>
      </c>
      <c r="AH27" s="15">
        <f t="shared" ref="AH27:AH28" si="154">(AG27/AF27-1)*100</f>
        <v>119900</v>
      </c>
      <c r="AI27" s="14">
        <v>32033</v>
      </c>
      <c r="AJ27" s="14">
        <v>103689</v>
      </c>
      <c r="AK27" s="15">
        <f t="shared" ref="AK27:AK28" si="155">(AJ27/AI27-1)*100</f>
        <v>223.69431523741144</v>
      </c>
      <c r="AL27" s="16">
        <f>AO27-AI27</f>
        <v>23000</v>
      </c>
      <c r="AM27" s="14">
        <f>AP27-AJ27</f>
        <v>24000</v>
      </c>
      <c r="AN27" s="15">
        <f t="shared" ref="AN27:AN28" si="156">(AM27/AL27-1)*100</f>
        <v>4.3478260869565188</v>
      </c>
      <c r="AO27" s="14">
        <v>55033</v>
      </c>
      <c r="AP27" s="14">
        <v>127689</v>
      </c>
      <c r="AQ27" s="15">
        <f t="shared" ref="AQ27:AQ28" si="157">(AP27/AO27-1)*100</f>
        <v>132.02260461904675</v>
      </c>
      <c r="AR27" s="16">
        <f>AU27-AO27</f>
        <v>0</v>
      </c>
      <c r="AS27" s="14">
        <f>AV27-AP27</f>
        <v>8020</v>
      </c>
      <c r="AT27" s="15" t="e">
        <f t="shared" ref="AT27:AT28" si="158">(AS27/AR27-1)*100</f>
        <v>#DIV/0!</v>
      </c>
      <c r="AU27" s="14">
        <v>55033</v>
      </c>
      <c r="AV27" s="14">
        <v>135709</v>
      </c>
      <c r="AW27" s="15">
        <f t="shared" ref="AW27:AW28" si="159">(AV27/AU27-1)*100</f>
        <v>146.59567895626262</v>
      </c>
      <c r="AX27" s="16">
        <f>BA27-AU27</f>
        <v>3013</v>
      </c>
      <c r="AY27" s="14">
        <f>BB27-AV27</f>
        <v>23054</v>
      </c>
      <c r="AZ27" s="15">
        <f t="shared" ref="AZ27:AZ28" si="160">(AY27/AX27-1)*100</f>
        <v>665.15101228011952</v>
      </c>
      <c r="BA27" s="14">
        <v>58046</v>
      </c>
      <c r="BB27" s="14">
        <v>158763</v>
      </c>
      <c r="BC27" s="15">
        <f t="shared" ref="BC27:BC28" si="161">(BB27/BA27-1)*100</f>
        <v>173.51238672776765</v>
      </c>
      <c r="BD27" s="16">
        <f>BG27-BA27</f>
        <v>5400</v>
      </c>
      <c r="BE27" s="14">
        <f>BH27-BB27</f>
        <v>4013</v>
      </c>
      <c r="BF27" s="15">
        <f t="shared" ref="BF27:BF28" si="162">(BE27/BD27-1)*100</f>
        <v>-25.68518518518519</v>
      </c>
      <c r="BG27" s="14">
        <v>63446</v>
      </c>
      <c r="BH27" s="14">
        <v>162776</v>
      </c>
      <c r="BI27" s="15">
        <f t="shared" ref="BI27:BI28" si="163">(BH27/BG27-1)*100</f>
        <v>156.55833307064273</v>
      </c>
      <c r="BJ27" s="16">
        <f>BM27-BG27</f>
        <v>26000</v>
      </c>
      <c r="BK27" s="14">
        <f>BN27-BH27</f>
        <v>23000</v>
      </c>
      <c r="BL27" s="15">
        <f t="shared" ref="BL27:BL28" si="164">(BK27/BJ27-1)*100</f>
        <v>-11.538461538461542</v>
      </c>
      <c r="BM27" s="14">
        <v>89446</v>
      </c>
      <c r="BN27" s="14">
        <v>185776</v>
      </c>
      <c r="BO27" s="15">
        <f t="shared" ref="BO27:BO28" si="165">(BN27/BM27-1)*100</f>
        <v>107.69626366746419</v>
      </c>
      <c r="BP27" s="16">
        <f>BS27-BM27</f>
        <v>109045</v>
      </c>
      <c r="BQ27" s="14">
        <f>BT27-BN27</f>
        <v>11000</v>
      </c>
      <c r="BR27" s="15">
        <f t="shared" ref="BR27:BR28" si="166">(BQ27/BP27-1)*100</f>
        <v>-89.912421477371723</v>
      </c>
      <c r="BS27" s="14">
        <v>198491</v>
      </c>
      <c r="BT27" s="14">
        <v>196776</v>
      </c>
      <c r="BU27" s="15">
        <f t="shared" ref="BU27:BU28" si="167">(BT27/BS27-1)*100</f>
        <v>-0.86401902353255844</v>
      </c>
      <c r="BV27" s="16">
        <f>BY27-BS27</f>
        <v>66200</v>
      </c>
      <c r="BW27" s="14">
        <f>BZ27-BT27</f>
        <v>26000</v>
      </c>
      <c r="BX27" s="15">
        <f t="shared" ref="BX27:BX28" si="168">(BW27/BV27-1)*100</f>
        <v>-60.725075528700899</v>
      </c>
      <c r="BY27" s="14">
        <v>264691</v>
      </c>
      <c r="BZ27" s="14">
        <v>222776</v>
      </c>
      <c r="CA27" s="15">
        <f t="shared" ref="CA27:CA28" si="169">(BZ27/BY27-1)*100</f>
        <v>-15.835445859511655</v>
      </c>
    </row>
    <row r="28" spans="1:79" s="1" customFormat="1" ht="19.5" customHeight="1">
      <c r="A28" s="152"/>
      <c r="B28" s="120"/>
      <c r="C28" s="33" t="s">
        <v>50</v>
      </c>
      <c r="D28" s="17">
        <v>4128885</v>
      </c>
      <c r="E28" s="17">
        <v>8939330</v>
      </c>
      <c r="F28" s="17">
        <v>6032512</v>
      </c>
      <c r="G28" s="17">
        <v>220320</v>
      </c>
      <c r="H28" s="17">
        <v>98019</v>
      </c>
      <c r="I28" s="17">
        <v>69268</v>
      </c>
      <c r="J28" s="17">
        <v>179591</v>
      </c>
      <c r="K28" s="17">
        <v>4727</v>
      </c>
      <c r="L28" s="17">
        <v>10794</v>
      </c>
      <c r="M28" s="18">
        <f t="shared" si="0"/>
        <v>128.3477892955363</v>
      </c>
      <c r="N28" s="14">
        <f>Q28-K28</f>
        <v>0</v>
      </c>
      <c r="O28" s="14">
        <f>R28-L28</f>
        <v>4465</v>
      </c>
      <c r="P28" s="18" t="e">
        <f t="shared" si="1"/>
        <v>#DIV/0!</v>
      </c>
      <c r="Q28" s="17">
        <v>4727</v>
      </c>
      <c r="R28" s="17">
        <v>15259</v>
      </c>
      <c r="S28" s="18">
        <f t="shared" si="2"/>
        <v>222.80516183625977</v>
      </c>
      <c r="T28" s="14">
        <f>W28-Q28</f>
        <v>10891</v>
      </c>
      <c r="U28" s="14">
        <f>X28-R28</f>
        <v>13412</v>
      </c>
      <c r="V28" s="18">
        <f t="shared" si="150"/>
        <v>23.147553025433854</v>
      </c>
      <c r="W28" s="17">
        <v>15618</v>
      </c>
      <c r="X28" s="17">
        <v>28671</v>
      </c>
      <c r="Y28" s="18">
        <f t="shared" si="151"/>
        <v>83.576642335766422</v>
      </c>
      <c r="Z28" s="14">
        <f>AC28-W28</f>
        <v>7845</v>
      </c>
      <c r="AA28" s="14">
        <f>AD28-X28</f>
        <v>37270</v>
      </c>
      <c r="AB28" s="18">
        <f t="shared" si="152"/>
        <v>375.07966857871259</v>
      </c>
      <c r="AC28" s="17">
        <v>23463</v>
      </c>
      <c r="AD28" s="17">
        <v>65941</v>
      </c>
      <c r="AE28" s="18">
        <f t="shared" si="153"/>
        <v>181.0424924348975</v>
      </c>
      <c r="AF28" s="14">
        <f>AI28-AC28</f>
        <v>36</v>
      </c>
      <c r="AG28" s="14">
        <f>AJ28-AD28</f>
        <v>7211</v>
      </c>
      <c r="AH28" s="18">
        <f t="shared" si="154"/>
        <v>19930.555555555555</v>
      </c>
      <c r="AI28" s="17">
        <v>23499</v>
      </c>
      <c r="AJ28" s="17">
        <v>73152</v>
      </c>
      <c r="AK28" s="18">
        <f t="shared" si="155"/>
        <v>211.29835312140943</v>
      </c>
      <c r="AL28" s="14">
        <f>AO28-AI28</f>
        <v>9807</v>
      </c>
      <c r="AM28" s="14">
        <f>AP28-AJ28</f>
        <v>10515</v>
      </c>
      <c r="AN28" s="18">
        <f t="shared" si="156"/>
        <v>7.2193331293973761</v>
      </c>
      <c r="AO28" s="17">
        <v>33306</v>
      </c>
      <c r="AP28" s="17">
        <v>83667</v>
      </c>
      <c r="AQ28" s="18">
        <f t="shared" si="157"/>
        <v>151.20698973157988</v>
      </c>
      <c r="AR28" s="14">
        <f>AU28-AO28</f>
        <v>675</v>
      </c>
      <c r="AS28" s="14">
        <f>AV28-AP28</f>
        <v>10913</v>
      </c>
      <c r="AT28" s="18">
        <f t="shared" si="158"/>
        <v>1516.7407407407406</v>
      </c>
      <c r="AU28" s="17">
        <v>33981</v>
      </c>
      <c r="AV28" s="17">
        <v>94580</v>
      </c>
      <c r="AW28" s="18">
        <f t="shared" si="159"/>
        <v>178.33200906388865</v>
      </c>
      <c r="AX28" s="14">
        <f>BA28-AU28</f>
        <v>4558</v>
      </c>
      <c r="AY28" s="14">
        <f>BB28-AV28</f>
        <v>10626</v>
      </c>
      <c r="AZ28" s="18">
        <f t="shared" si="160"/>
        <v>133.12856516015796</v>
      </c>
      <c r="BA28" s="17">
        <v>38539</v>
      </c>
      <c r="BB28" s="17">
        <v>105206</v>
      </c>
      <c r="BC28" s="18">
        <f t="shared" si="161"/>
        <v>172.98580658553675</v>
      </c>
      <c r="BD28" s="14">
        <f>BG28-BA28</f>
        <v>4843</v>
      </c>
      <c r="BE28" s="14">
        <f>BH28-BB28</f>
        <v>4628</v>
      </c>
      <c r="BF28" s="18">
        <f t="shared" si="162"/>
        <v>-4.4393970679331041</v>
      </c>
      <c r="BG28" s="17">
        <v>43382</v>
      </c>
      <c r="BH28" s="17">
        <v>109834</v>
      </c>
      <c r="BI28" s="18">
        <f t="shared" si="163"/>
        <v>153.17873772532388</v>
      </c>
      <c r="BJ28" s="14">
        <f>BM28-BG28</f>
        <v>13573</v>
      </c>
      <c r="BK28" s="14">
        <f>BN28-BH28</f>
        <v>10135</v>
      </c>
      <c r="BL28" s="18">
        <f t="shared" si="164"/>
        <v>-25.3296986664702</v>
      </c>
      <c r="BM28" s="17">
        <v>56955</v>
      </c>
      <c r="BN28" s="17">
        <v>119969</v>
      </c>
      <c r="BO28" s="18">
        <f t="shared" si="165"/>
        <v>110.63822315863403</v>
      </c>
      <c r="BP28" s="14">
        <f>BS28-BM28</f>
        <v>86766</v>
      </c>
      <c r="BQ28" s="14">
        <f>BT28-BN28</f>
        <v>13329</v>
      </c>
      <c r="BR28" s="18">
        <f t="shared" si="166"/>
        <v>-84.637991840121714</v>
      </c>
      <c r="BS28" s="17">
        <v>143721</v>
      </c>
      <c r="BT28" s="17">
        <v>133298</v>
      </c>
      <c r="BU28" s="18">
        <f t="shared" si="167"/>
        <v>-7.2522456704309013</v>
      </c>
      <c r="BV28" s="14">
        <f>BY28-BS28</f>
        <v>35870</v>
      </c>
      <c r="BW28" s="14">
        <f>BZ28-BT28</f>
        <v>13686</v>
      </c>
      <c r="BX28" s="18">
        <f t="shared" si="168"/>
        <v>-61.845553387231675</v>
      </c>
      <c r="BY28" s="17">
        <v>179591</v>
      </c>
      <c r="BZ28" s="17">
        <v>146984</v>
      </c>
      <c r="CA28" s="18">
        <f t="shared" si="169"/>
        <v>-18.156255046188285</v>
      </c>
    </row>
    <row r="29" spans="1:79" s="1" customFormat="1" ht="19.5" customHeight="1" thickBot="1">
      <c r="A29" s="153"/>
      <c r="B29" s="121"/>
      <c r="C29" s="41" t="s">
        <v>51</v>
      </c>
      <c r="D29" s="37">
        <f t="shared" ref="D29:L29" si="170">D28/D27</f>
        <v>0.36743221180774388</v>
      </c>
      <c r="E29" s="37">
        <f t="shared" si="170"/>
        <v>0.40633802093461296</v>
      </c>
      <c r="F29" s="37">
        <f t="shared" si="170"/>
        <v>1.015274101583084</v>
      </c>
      <c r="G29" s="37">
        <f t="shared" si="170"/>
        <v>1.084582894387067</v>
      </c>
      <c r="H29" s="38">
        <f>H28/H27</f>
        <v>0.93279470123047936</v>
      </c>
      <c r="I29" s="38">
        <f>I28/I27</f>
        <v>0.84823844919851576</v>
      </c>
      <c r="J29" s="38">
        <f>J28/J27</f>
        <v>0.6784930352750943</v>
      </c>
      <c r="K29" s="38">
        <f t="shared" si="170"/>
        <v>1.5683477106834771</v>
      </c>
      <c r="L29" s="38">
        <f t="shared" si="170"/>
        <v>0.46928394417634017</v>
      </c>
      <c r="M29" s="21"/>
      <c r="N29" s="38" t="e">
        <f>N28/N27</f>
        <v>#DIV/0!</v>
      </c>
      <c r="O29" s="38">
        <f>O28/O27</f>
        <v>1.4819117158977764</v>
      </c>
      <c r="P29" s="21"/>
      <c r="Q29" s="38">
        <f>Q28/Q27</f>
        <v>1.5683477106834771</v>
      </c>
      <c r="R29" s="38">
        <f>R28/R27</f>
        <v>0.58656877066195123</v>
      </c>
      <c r="S29" s="21"/>
      <c r="T29" s="38">
        <f>T28/T27</f>
        <v>0.47350115212382071</v>
      </c>
      <c r="U29" s="38">
        <f>U28/U27</f>
        <v>0.50996197718631175</v>
      </c>
      <c r="V29" s="21"/>
      <c r="W29" s="38">
        <f>W28/W27</f>
        <v>0.60034595425715931</v>
      </c>
      <c r="X29" s="38">
        <f>X28/X27</f>
        <v>0.54805596972129833</v>
      </c>
      <c r="Y29" s="21"/>
      <c r="Z29" s="38">
        <f>Z28/Z27</f>
        <v>1.3046732080492267</v>
      </c>
      <c r="AA29" s="38">
        <f>AA28/AA27</f>
        <v>0.82137741046831958</v>
      </c>
      <c r="AB29" s="21"/>
      <c r="AC29" s="38">
        <f>AC28/AC27</f>
        <v>0.73257774447358559</v>
      </c>
      <c r="AD29" s="38">
        <f>AD28/AD27</f>
        <v>0.67500946882453505</v>
      </c>
      <c r="AE29" s="21"/>
      <c r="AF29" s="38">
        <f>AF28/AF27</f>
        <v>7.2</v>
      </c>
      <c r="AG29" s="38">
        <f>AG28/AG27</f>
        <v>1.2018333333333333</v>
      </c>
      <c r="AH29" s="21"/>
      <c r="AI29" s="38">
        <f>AI28/AI27</f>
        <v>0.73358723816064686</v>
      </c>
      <c r="AJ29" s="38">
        <f>AJ28/AJ27</f>
        <v>0.70549431472962421</v>
      </c>
      <c r="AK29" s="21"/>
      <c r="AL29" s="38">
        <f>AL28/AL27</f>
        <v>0.42639130434782607</v>
      </c>
      <c r="AM29" s="38">
        <f>AM28/AM27</f>
        <v>0.43812499999999999</v>
      </c>
      <c r="AN29" s="21"/>
      <c r="AO29" s="38">
        <f>AO28/AO27</f>
        <v>0.60520051605400393</v>
      </c>
      <c r="AP29" s="38">
        <f>AP28/AP27</f>
        <v>0.65524046707233985</v>
      </c>
      <c r="AQ29" s="21"/>
      <c r="AR29" s="38" t="e">
        <f>AR28/AR27</f>
        <v>#DIV/0!</v>
      </c>
      <c r="AS29" s="38">
        <f>AS28/AS27</f>
        <v>1.3607231920199501</v>
      </c>
      <c r="AT29" s="21"/>
      <c r="AU29" s="38">
        <f>AU28/AU27</f>
        <v>0.61746588410590009</v>
      </c>
      <c r="AV29" s="38">
        <f>AV28/AV27</f>
        <v>0.69693240684110858</v>
      </c>
      <c r="AW29" s="21"/>
      <c r="AX29" s="38">
        <f>AX28/AX27</f>
        <v>1.5127779621639561</v>
      </c>
      <c r="AY29" s="38">
        <f>AY28/AY27</f>
        <v>0.46091784505942568</v>
      </c>
      <c r="AZ29" s="21"/>
      <c r="BA29" s="38">
        <f>BA28/BA27</f>
        <v>0.6639389449746752</v>
      </c>
      <c r="BB29" s="38">
        <f>BB28/BB27</f>
        <v>0.66266069550210061</v>
      </c>
      <c r="BC29" s="21"/>
      <c r="BD29" s="38">
        <f>BD28/BD27</f>
        <v>0.8968518518518519</v>
      </c>
      <c r="BE29" s="38">
        <f>BE28/BE27</f>
        <v>1.1532519312235237</v>
      </c>
      <c r="BF29" s="21"/>
      <c r="BG29" s="38">
        <f>BG28/BG27</f>
        <v>0.68376256974434957</v>
      </c>
      <c r="BH29" s="38">
        <f>BH28/BH27</f>
        <v>0.67475549221015385</v>
      </c>
      <c r="BI29" s="21"/>
      <c r="BJ29" s="38">
        <f>BJ28/BJ27</f>
        <v>0.52203846153846156</v>
      </c>
      <c r="BK29" s="38">
        <f>BK28/BK27</f>
        <v>0.44065217391304345</v>
      </c>
      <c r="BL29" s="21"/>
      <c r="BM29" s="38">
        <f>BM28/BM27</f>
        <v>0.63675290119178052</v>
      </c>
      <c r="BN29" s="38">
        <f>BN28/BN27</f>
        <v>0.64577232796486095</v>
      </c>
      <c r="BO29" s="21"/>
      <c r="BP29" s="38">
        <f>BP28/BP27</f>
        <v>0.79568985281305882</v>
      </c>
      <c r="BQ29" s="38">
        <f>BQ28/BQ27</f>
        <v>1.2117272727272728</v>
      </c>
      <c r="BR29" s="21"/>
      <c r="BS29" s="38">
        <f>BS28/BS27</f>
        <v>0.72406809376747561</v>
      </c>
      <c r="BT29" s="38">
        <f>BT28/BT27</f>
        <v>0.67740984672927596</v>
      </c>
      <c r="BU29" s="21"/>
      <c r="BV29" s="38">
        <f>BV28/BV27</f>
        <v>0.54184290030211479</v>
      </c>
      <c r="BW29" s="38">
        <f>BW28/BW27</f>
        <v>0.52638461538461534</v>
      </c>
      <c r="BX29" s="21"/>
      <c r="BY29" s="38">
        <f>BY28/BY27</f>
        <v>0.6784930352750943</v>
      </c>
      <c r="BZ29" s="38">
        <f>BZ28/BZ27</f>
        <v>0.65978381872374048</v>
      </c>
      <c r="CA29" s="21"/>
    </row>
    <row r="30" spans="1:79" s="1" customFormat="1" ht="19.5" customHeight="1">
      <c r="A30" s="151" t="s">
        <v>66</v>
      </c>
      <c r="B30" s="114">
        <v>2611</v>
      </c>
      <c r="C30" s="32" t="s">
        <v>42</v>
      </c>
      <c r="D30" s="14">
        <v>406264</v>
      </c>
      <c r="E30" s="14">
        <v>16</v>
      </c>
      <c r="F30" s="14">
        <v>18009</v>
      </c>
      <c r="G30" s="14">
        <v>75858</v>
      </c>
      <c r="H30" s="14">
        <v>12317</v>
      </c>
      <c r="I30" s="14">
        <v>160090</v>
      </c>
      <c r="J30" s="14">
        <v>96409</v>
      </c>
      <c r="K30" s="14">
        <v>1000</v>
      </c>
      <c r="L30" s="14">
        <v>60295</v>
      </c>
      <c r="M30" s="15">
        <f t="shared" si="0"/>
        <v>5929.5</v>
      </c>
      <c r="N30" s="16">
        <f>Q30-K30</f>
        <v>0</v>
      </c>
      <c r="O30" s="14">
        <f>R30-L30</f>
        <v>43456</v>
      </c>
      <c r="P30" s="15" t="e">
        <f t="shared" si="1"/>
        <v>#DIV/0!</v>
      </c>
      <c r="Q30" s="14">
        <v>1000</v>
      </c>
      <c r="R30" s="14">
        <v>103751</v>
      </c>
      <c r="S30" s="15">
        <f t="shared" si="2"/>
        <v>10275.1</v>
      </c>
      <c r="T30" s="16">
        <f>W30-Q30</f>
        <v>0</v>
      </c>
      <c r="U30" s="14">
        <f>X30-R30</f>
        <v>41004</v>
      </c>
      <c r="V30" s="15" t="e">
        <f t="shared" ref="V30:V31" si="171">(U30/T30-1)*100</f>
        <v>#DIV/0!</v>
      </c>
      <c r="W30" s="14">
        <v>1000</v>
      </c>
      <c r="X30" s="14">
        <v>144755</v>
      </c>
      <c r="Y30" s="15">
        <f t="shared" ref="Y30:Y31" si="172">(X30/W30-1)*100</f>
        <v>14375.5</v>
      </c>
      <c r="Z30" s="16">
        <f>AC30-W30</f>
        <v>0</v>
      </c>
      <c r="AA30" s="14">
        <f>AD30-X30</f>
        <v>40001</v>
      </c>
      <c r="AB30" s="15" t="e">
        <f t="shared" ref="AB30:AB31" si="173">(AA30/Z30-1)*100</f>
        <v>#DIV/0!</v>
      </c>
      <c r="AC30" s="14">
        <v>1000</v>
      </c>
      <c r="AD30" s="14">
        <v>184756</v>
      </c>
      <c r="AE30" s="15">
        <f t="shared" ref="AE30:AE31" si="174">(AD30/AC30-1)*100</f>
        <v>18375.599999999999</v>
      </c>
      <c r="AF30" s="16">
        <f>AI30-AC30</f>
        <v>0</v>
      </c>
      <c r="AG30" s="14">
        <f>AJ30-AD30</f>
        <v>51985</v>
      </c>
      <c r="AH30" s="15" t="e">
        <f t="shared" ref="AH30:AH31" si="175">(AG30/AF30-1)*100</f>
        <v>#DIV/0!</v>
      </c>
      <c r="AI30" s="14">
        <v>1000</v>
      </c>
      <c r="AJ30" s="14">
        <v>236741</v>
      </c>
      <c r="AK30" s="15">
        <f t="shared" ref="AK30:AK31" si="176">(AJ30/AI30-1)*100</f>
        <v>23574.100000000002</v>
      </c>
      <c r="AL30" s="16">
        <f>AO30-AI30</f>
        <v>18021</v>
      </c>
      <c r="AM30" s="14">
        <f>AP30-AJ30</f>
        <v>22030</v>
      </c>
      <c r="AN30" s="15">
        <f t="shared" ref="AN30:AN31" si="177">(AM30/AL30-1)*100</f>
        <v>22.246268242605851</v>
      </c>
      <c r="AO30" s="14">
        <v>19021</v>
      </c>
      <c r="AP30" s="14">
        <v>258771</v>
      </c>
      <c r="AQ30" s="15">
        <f t="shared" ref="AQ30:AQ31" si="178">(AP30/AO30-1)*100</f>
        <v>1260.4489774459807</v>
      </c>
      <c r="AR30" s="16">
        <f>AU30-AO30</f>
        <v>82</v>
      </c>
      <c r="AS30" s="14">
        <f>AV30-AP30</f>
        <v>84995</v>
      </c>
      <c r="AT30" s="15">
        <f t="shared" ref="AT30:AT31" si="179">(AS30/AR30-1)*100</f>
        <v>103552.43902439025</v>
      </c>
      <c r="AU30" s="14">
        <v>19103</v>
      </c>
      <c r="AV30" s="14">
        <v>343766</v>
      </c>
      <c r="AW30" s="15">
        <f t="shared" ref="AW30:AW31" si="180">(AV30/AU30-1)*100</f>
        <v>1699.5393393707793</v>
      </c>
      <c r="AX30" s="16">
        <f>BA30-AU30</f>
        <v>22</v>
      </c>
      <c r="AY30" s="14">
        <f>BB30-AV30</f>
        <v>75968</v>
      </c>
      <c r="AZ30" s="15">
        <f t="shared" ref="AZ30:AZ31" si="181">(AY30/AX30-1)*100</f>
        <v>345209.09090909088</v>
      </c>
      <c r="BA30" s="14">
        <v>19125</v>
      </c>
      <c r="BB30" s="14">
        <v>419734</v>
      </c>
      <c r="BC30" s="15">
        <f t="shared" ref="BC30:BC31" si="182">(BB30/BA30-1)*100</f>
        <v>2094.6875816993465</v>
      </c>
      <c r="BD30" s="16">
        <f>BG30-BA30</f>
        <v>0</v>
      </c>
      <c r="BE30" s="14">
        <f>BH30-BB30</f>
        <v>80003</v>
      </c>
      <c r="BF30" s="15" t="e">
        <f t="shared" ref="BF30:BF31" si="183">(BE30/BD30-1)*100</f>
        <v>#DIV/0!</v>
      </c>
      <c r="BG30" s="14">
        <v>19125</v>
      </c>
      <c r="BH30" s="14">
        <v>499737</v>
      </c>
      <c r="BI30" s="15">
        <f t="shared" ref="BI30:BI31" si="184">(BH30/BG30-1)*100</f>
        <v>2513.0039215686274</v>
      </c>
      <c r="BJ30" s="16">
        <f>BM30-BG30</f>
        <v>2</v>
      </c>
      <c r="BK30" s="14">
        <f>BN30-BH30</f>
        <v>59732</v>
      </c>
      <c r="BL30" s="15">
        <f t="shared" ref="BL30:BL31" si="185">(BK30/BJ30-1)*100</f>
        <v>2986500</v>
      </c>
      <c r="BM30" s="14">
        <v>19127</v>
      </c>
      <c r="BN30" s="14">
        <v>559469</v>
      </c>
      <c r="BO30" s="15">
        <f t="shared" ref="BO30:BO31" si="186">(BN30/BM30-1)*100</f>
        <v>2825.022219898573</v>
      </c>
      <c r="BP30" s="16">
        <f>BS30-BM30</f>
        <v>40020</v>
      </c>
      <c r="BQ30" s="14">
        <f>BT30-BN30</f>
        <v>85000</v>
      </c>
      <c r="BR30" s="15">
        <f t="shared" ref="BR30:BR31" si="187">(BQ30/BP30-1)*100</f>
        <v>112.39380309845077</v>
      </c>
      <c r="BS30" s="14">
        <v>59147</v>
      </c>
      <c r="BT30" s="14">
        <v>644469</v>
      </c>
      <c r="BU30" s="15">
        <f t="shared" ref="BU30:BU31" si="188">(BT30/BS30-1)*100</f>
        <v>989.60555903088925</v>
      </c>
      <c r="BV30" s="16">
        <f>BY30-BS30</f>
        <v>37262</v>
      </c>
      <c r="BW30" s="14">
        <f>BZ30-BT30</f>
        <v>40005</v>
      </c>
      <c r="BX30" s="15">
        <f t="shared" ref="BX30:BX31" si="189">(BW30/BV30-1)*100</f>
        <v>7.3613869357522344</v>
      </c>
      <c r="BY30" s="14">
        <v>96409</v>
      </c>
      <c r="BZ30" s="14">
        <v>684474</v>
      </c>
      <c r="CA30" s="15">
        <f t="shared" ref="CA30:CA31" si="190">(BZ30/BY30-1)*100</f>
        <v>609.96898629795976</v>
      </c>
    </row>
    <row r="31" spans="1:79" s="1" customFormat="1" ht="18" customHeight="1">
      <c r="A31" s="154"/>
      <c r="B31" s="115"/>
      <c r="C31" s="33" t="s">
        <v>50</v>
      </c>
      <c r="D31" s="17">
        <v>62705</v>
      </c>
      <c r="E31" s="17">
        <v>1825</v>
      </c>
      <c r="F31" s="17">
        <v>57162</v>
      </c>
      <c r="G31" s="17">
        <v>1336588</v>
      </c>
      <c r="H31" s="17">
        <v>263892</v>
      </c>
      <c r="I31" s="17">
        <v>2362741</v>
      </c>
      <c r="J31" s="17">
        <v>856642</v>
      </c>
      <c r="K31" s="17">
        <v>19305</v>
      </c>
      <c r="L31" s="17">
        <v>516511</v>
      </c>
      <c r="M31" s="18">
        <f t="shared" si="0"/>
        <v>2575.5296555296559</v>
      </c>
      <c r="N31" s="14">
        <f>Q31-K31</f>
        <v>0</v>
      </c>
      <c r="O31" s="14">
        <f>R31-L31</f>
        <v>378481</v>
      </c>
      <c r="P31" s="18" t="e">
        <f t="shared" si="1"/>
        <v>#DIV/0!</v>
      </c>
      <c r="Q31" s="17">
        <v>19305</v>
      </c>
      <c r="R31" s="17">
        <v>894992</v>
      </c>
      <c r="S31" s="18">
        <f t="shared" si="2"/>
        <v>4536.0631960631963</v>
      </c>
      <c r="T31" s="14">
        <f>W31-Q31</f>
        <v>0</v>
      </c>
      <c r="U31" s="14">
        <f>X31-R31</f>
        <v>376219</v>
      </c>
      <c r="V31" s="18" t="e">
        <f t="shared" si="171"/>
        <v>#DIV/0!</v>
      </c>
      <c r="W31" s="17">
        <v>19305</v>
      </c>
      <c r="X31" s="17">
        <v>1271211</v>
      </c>
      <c r="Y31" s="18">
        <f t="shared" si="172"/>
        <v>6484.879564879564</v>
      </c>
      <c r="Z31" s="14">
        <f>AC31-W31</f>
        <v>0</v>
      </c>
      <c r="AA31" s="14">
        <f>AD31-X31</f>
        <v>359813</v>
      </c>
      <c r="AB31" s="18" t="e">
        <f t="shared" si="173"/>
        <v>#DIV/0!</v>
      </c>
      <c r="AC31" s="17">
        <v>19305</v>
      </c>
      <c r="AD31" s="17">
        <v>1631024</v>
      </c>
      <c r="AE31" s="18">
        <f t="shared" si="174"/>
        <v>8348.7127687127686</v>
      </c>
      <c r="AF31" s="14">
        <f>AI31-AC31</f>
        <v>0</v>
      </c>
      <c r="AG31" s="14">
        <f>AJ31-AD31</f>
        <v>476765</v>
      </c>
      <c r="AH31" s="18" t="e">
        <f t="shared" si="175"/>
        <v>#DIV/0!</v>
      </c>
      <c r="AI31" s="17">
        <v>19305</v>
      </c>
      <c r="AJ31" s="17">
        <v>2107789</v>
      </c>
      <c r="AK31" s="18">
        <f t="shared" si="176"/>
        <v>10818.357938357938</v>
      </c>
      <c r="AL31" s="14">
        <f>AO31-AI31</f>
        <v>176735</v>
      </c>
      <c r="AM31" s="14">
        <f>AP31-AJ31</f>
        <v>219983</v>
      </c>
      <c r="AN31" s="18">
        <f t="shared" si="177"/>
        <v>24.470534981752333</v>
      </c>
      <c r="AO31" s="17">
        <v>196040</v>
      </c>
      <c r="AP31" s="17">
        <v>2327772</v>
      </c>
      <c r="AQ31" s="18">
        <f t="shared" si="178"/>
        <v>1087.396449704142</v>
      </c>
      <c r="AR31" s="14">
        <f>AU31-AO31</f>
        <v>503</v>
      </c>
      <c r="AS31" s="14">
        <f>AV31-AP31</f>
        <v>883923</v>
      </c>
      <c r="AT31" s="18">
        <f t="shared" si="179"/>
        <v>175630.21868787275</v>
      </c>
      <c r="AU31" s="17">
        <v>196543</v>
      </c>
      <c r="AV31" s="17">
        <v>3211695</v>
      </c>
      <c r="AW31" s="18">
        <f t="shared" si="180"/>
        <v>1534.09279394331</v>
      </c>
      <c r="AX31" s="14">
        <f>BA31-AU31</f>
        <v>114</v>
      </c>
      <c r="AY31" s="14">
        <f>BB31-AV31</f>
        <v>781111</v>
      </c>
      <c r="AZ31" s="18">
        <f t="shared" si="181"/>
        <v>685085.08771929832</v>
      </c>
      <c r="BA31" s="17">
        <v>196657</v>
      </c>
      <c r="BB31" s="17">
        <v>3992806</v>
      </c>
      <c r="BC31" s="18">
        <f t="shared" si="182"/>
        <v>1930.3401353625854</v>
      </c>
      <c r="BD31" s="14">
        <f>BG31-BA31</f>
        <v>0</v>
      </c>
      <c r="BE31" s="14">
        <f>BH31-BB31</f>
        <v>768507</v>
      </c>
      <c r="BF31" s="18" t="e">
        <f t="shared" si="183"/>
        <v>#DIV/0!</v>
      </c>
      <c r="BG31" s="17">
        <v>196657</v>
      </c>
      <c r="BH31" s="17">
        <v>4761313</v>
      </c>
      <c r="BI31" s="18">
        <f t="shared" si="184"/>
        <v>2321.1256146488554</v>
      </c>
      <c r="BJ31" s="14">
        <f>BM31-BG31</f>
        <v>1317</v>
      </c>
      <c r="BK31" s="14">
        <f>BN31-BH31</f>
        <v>632550</v>
      </c>
      <c r="BL31" s="18">
        <f t="shared" si="185"/>
        <v>47929.612756264236</v>
      </c>
      <c r="BM31" s="17">
        <v>197974</v>
      </c>
      <c r="BN31" s="17">
        <v>5393863</v>
      </c>
      <c r="BO31" s="18">
        <f t="shared" si="186"/>
        <v>2624.5309990200735</v>
      </c>
      <c r="BP31" s="14">
        <f>BS31-BM31</f>
        <v>314027</v>
      </c>
      <c r="BQ31" s="14">
        <f>BT31-BN31</f>
        <v>829224</v>
      </c>
      <c r="BR31" s="18">
        <f t="shared" si="187"/>
        <v>164.0613705190955</v>
      </c>
      <c r="BS31" s="17">
        <v>512001</v>
      </c>
      <c r="BT31" s="17">
        <v>6223087</v>
      </c>
      <c r="BU31" s="18">
        <f t="shared" si="188"/>
        <v>1115.4443057728402</v>
      </c>
      <c r="BV31" s="14">
        <f>BY31-BS31</f>
        <v>344641</v>
      </c>
      <c r="BW31" s="14">
        <f>BZ31-BT31</f>
        <v>394652</v>
      </c>
      <c r="BX31" s="18">
        <f t="shared" si="189"/>
        <v>14.511041924785495</v>
      </c>
      <c r="BY31" s="17">
        <v>856642</v>
      </c>
      <c r="BZ31" s="17">
        <v>6617739</v>
      </c>
      <c r="CA31" s="18">
        <f t="shared" si="190"/>
        <v>672.52095974747908</v>
      </c>
    </row>
    <row r="32" spans="1:79" s="1" customFormat="1" ht="19.5" customHeight="1" thickBot="1">
      <c r="A32" s="155"/>
      <c r="B32" s="116"/>
      <c r="C32" s="41" t="s">
        <v>51</v>
      </c>
      <c r="D32" s="37">
        <f t="shared" ref="D32:L32" si="191">D31/D30</f>
        <v>0.1543454502490991</v>
      </c>
      <c r="E32" s="37">
        <f t="shared" si="191"/>
        <v>114.0625</v>
      </c>
      <c r="F32" s="37">
        <f t="shared" si="191"/>
        <v>3.1740796268532399</v>
      </c>
      <c r="G32" s="37">
        <f t="shared" si="191"/>
        <v>17.619605051543672</v>
      </c>
      <c r="H32" s="38">
        <f>H31/H30</f>
        <v>21.425022326865307</v>
      </c>
      <c r="I32" s="38">
        <f>I31/I30</f>
        <v>14.758829408457743</v>
      </c>
      <c r="J32" s="38">
        <f>J31/J30</f>
        <v>8.8854982418653865</v>
      </c>
      <c r="K32" s="38">
        <f t="shared" si="191"/>
        <v>19.305</v>
      </c>
      <c r="L32" s="38">
        <f t="shared" si="191"/>
        <v>8.5663985405091641</v>
      </c>
      <c r="M32" s="21"/>
      <c r="N32" s="38" t="e">
        <f>N31/N30</f>
        <v>#DIV/0!</v>
      </c>
      <c r="O32" s="38">
        <f>O31/O30</f>
        <v>8.709522275405007</v>
      </c>
      <c r="P32" s="21"/>
      <c r="Q32" s="38">
        <f>Q31/Q30</f>
        <v>19.305</v>
      </c>
      <c r="R32" s="38">
        <f>R31/R30</f>
        <v>8.6263457701612509</v>
      </c>
      <c r="S32" s="21"/>
      <c r="T32" s="38" t="e">
        <f>T31/T30</f>
        <v>#DIV/0!</v>
      </c>
      <c r="U32" s="38">
        <f>U31/U30</f>
        <v>9.1751780314115692</v>
      </c>
      <c r="V32" s="21"/>
      <c r="W32" s="38">
        <f>W31/W30</f>
        <v>19.305</v>
      </c>
      <c r="X32" s="38">
        <f>X31/X30</f>
        <v>8.7818106455735556</v>
      </c>
      <c r="Y32" s="21"/>
      <c r="Z32" s="38" t="e">
        <f>Z31/Z30</f>
        <v>#DIV/0!</v>
      </c>
      <c r="AA32" s="38">
        <f>AA31/AA30</f>
        <v>8.9951001224969378</v>
      </c>
      <c r="AB32" s="21"/>
      <c r="AC32" s="38">
        <f>AC31/AC30</f>
        <v>19.305</v>
      </c>
      <c r="AD32" s="38">
        <f>AD31/AD30</f>
        <v>8.8279893481131868</v>
      </c>
      <c r="AE32" s="21"/>
      <c r="AF32" s="38" t="e">
        <f>AF31/AF30</f>
        <v>#DIV/0!</v>
      </c>
      <c r="AG32" s="38">
        <f>AG31/AG30</f>
        <v>9.1712032317014529</v>
      </c>
      <c r="AH32" s="21"/>
      <c r="AI32" s="38">
        <f>AI31/AI30</f>
        <v>19.305</v>
      </c>
      <c r="AJ32" s="38">
        <f>AJ31/AJ30</f>
        <v>8.90335429857946</v>
      </c>
      <c r="AK32" s="21"/>
      <c r="AL32" s="38">
        <f>AL31/AL30</f>
        <v>9.8071694134620717</v>
      </c>
      <c r="AM32" s="38">
        <f>AM31/AM30</f>
        <v>9.9856105310939629</v>
      </c>
      <c r="AN32" s="21"/>
      <c r="AO32" s="38">
        <f>AO31/AO30</f>
        <v>10.306503338415435</v>
      </c>
      <c r="AP32" s="38">
        <f>AP31/AP30</f>
        <v>8.9954902210835055</v>
      </c>
      <c r="AQ32" s="21"/>
      <c r="AR32" s="38">
        <f>AR31/AR30</f>
        <v>6.1341463414634143</v>
      </c>
      <c r="AS32" s="38">
        <f>AS31/AS30</f>
        <v>10.399705865050885</v>
      </c>
      <c r="AT32" s="21"/>
      <c r="AU32" s="38">
        <f>AU31/AU30</f>
        <v>10.288593414646915</v>
      </c>
      <c r="AV32" s="38">
        <f>AV31/AV30</f>
        <v>9.3426778680846851</v>
      </c>
      <c r="AW32" s="21"/>
      <c r="AX32" s="38">
        <f>AX31/AX30</f>
        <v>5.1818181818181817</v>
      </c>
      <c r="AY32" s="38">
        <f>AY31/AY30</f>
        <v>10.282105623420387</v>
      </c>
      <c r="AZ32" s="21"/>
      <c r="BA32" s="38">
        <f>BA31/BA30</f>
        <v>10.282718954248367</v>
      </c>
      <c r="BB32" s="38">
        <f>BB31/BB30</f>
        <v>9.5127056659693991</v>
      </c>
      <c r="BC32" s="21"/>
      <c r="BD32" s="38" t="e">
        <f>BD31/BD30</f>
        <v>#DIV/0!</v>
      </c>
      <c r="BE32" s="38">
        <f>BE31/BE30</f>
        <v>9.6059772758521547</v>
      </c>
      <c r="BF32" s="21"/>
      <c r="BG32" s="38">
        <f>BG31/BG30</f>
        <v>10.282718954248367</v>
      </c>
      <c r="BH32" s="38">
        <f>BH31/BH30</f>
        <v>9.5276375373446438</v>
      </c>
      <c r="BI32" s="21"/>
      <c r="BJ32" s="38">
        <f>BJ31/BJ30</f>
        <v>658.5</v>
      </c>
      <c r="BK32" s="38">
        <f>BK31/BK30</f>
        <v>10.589801111631957</v>
      </c>
      <c r="BL32" s="21"/>
      <c r="BM32" s="38">
        <f>BM31/BM30</f>
        <v>10.350499294191458</v>
      </c>
      <c r="BN32" s="38">
        <f>BN31/BN30</f>
        <v>9.6410399861297051</v>
      </c>
      <c r="BO32" s="21"/>
      <c r="BP32" s="38">
        <f>BP31/BP30</f>
        <v>7.8467516241879061</v>
      </c>
      <c r="BQ32" s="38">
        <f>BQ31/BQ30</f>
        <v>9.7555764705882346</v>
      </c>
      <c r="BR32" s="21"/>
      <c r="BS32" s="38">
        <f>BS31/BS30</f>
        <v>8.6564153718700858</v>
      </c>
      <c r="BT32" s="38">
        <f>BT31/BT30</f>
        <v>9.6561463778707743</v>
      </c>
      <c r="BU32" s="21"/>
      <c r="BV32" s="38">
        <f>BV31/BV30</f>
        <v>9.2491277977564277</v>
      </c>
      <c r="BW32" s="38">
        <f>BW31/BW30</f>
        <v>9.8650668666416692</v>
      </c>
      <c r="BX32" s="21"/>
      <c r="BY32" s="38">
        <f>BY31/BY30</f>
        <v>8.8854982418653865</v>
      </c>
      <c r="BZ32" s="38">
        <f>BZ31/BZ30</f>
        <v>9.6683570157522425</v>
      </c>
      <c r="CA32" s="21"/>
    </row>
    <row r="33" spans="1:79" s="1" customFormat="1" ht="19.5" customHeight="1">
      <c r="A33" s="151" t="s">
        <v>67</v>
      </c>
      <c r="B33" s="114">
        <v>2612</v>
      </c>
      <c r="C33" s="32" t="s">
        <v>42</v>
      </c>
      <c r="D33" s="14">
        <v>100000</v>
      </c>
      <c r="E33" s="14">
        <v>85093</v>
      </c>
      <c r="F33" s="14">
        <v>22241</v>
      </c>
      <c r="G33" s="14">
        <v>10700</v>
      </c>
      <c r="H33" s="14">
        <v>300</v>
      </c>
      <c r="I33" s="14">
        <v>108</v>
      </c>
      <c r="J33" s="14">
        <v>110</v>
      </c>
      <c r="K33" s="14">
        <v>32</v>
      </c>
      <c r="L33" s="14">
        <v>0</v>
      </c>
      <c r="M33" s="15">
        <f t="shared" si="0"/>
        <v>-100</v>
      </c>
      <c r="N33" s="16">
        <f>Q33-K33</f>
        <v>0</v>
      </c>
      <c r="O33" s="14">
        <f>R33-L33</f>
        <v>0</v>
      </c>
      <c r="P33" s="15" t="e">
        <f t="shared" si="1"/>
        <v>#DIV/0!</v>
      </c>
      <c r="Q33" s="14">
        <v>32</v>
      </c>
      <c r="R33" s="14">
        <v>0</v>
      </c>
      <c r="S33" s="15">
        <f t="shared" si="2"/>
        <v>-100</v>
      </c>
      <c r="T33" s="16">
        <f>W33-Q33</f>
        <v>0</v>
      </c>
      <c r="U33" s="14">
        <f>X33-R33</f>
        <v>0</v>
      </c>
      <c r="V33" s="15" t="e">
        <f t="shared" ref="V33:V34" si="192">(U33/T33-1)*100</f>
        <v>#DIV/0!</v>
      </c>
      <c r="W33" s="14">
        <v>32</v>
      </c>
      <c r="X33" s="14">
        <v>0</v>
      </c>
      <c r="Y33" s="15">
        <f t="shared" ref="Y33:Y34" si="193">(X33/W33-1)*100</f>
        <v>-100</v>
      </c>
      <c r="Z33" s="16">
        <f>AC33-W33</f>
        <v>78</v>
      </c>
      <c r="AA33" s="14">
        <f>AD33-X33</f>
        <v>0</v>
      </c>
      <c r="AB33" s="15">
        <f t="shared" ref="AB33:AB34" si="194">(AA33/Z33-1)*100</f>
        <v>-100</v>
      </c>
      <c r="AC33" s="14">
        <v>110</v>
      </c>
      <c r="AD33" s="14">
        <v>0</v>
      </c>
      <c r="AE33" s="15">
        <f t="shared" ref="AE33:AE34" si="195">(AD33/AC33-1)*100</f>
        <v>-100</v>
      </c>
      <c r="AF33" s="16">
        <f>AI33-AC33</f>
        <v>0</v>
      </c>
      <c r="AG33" s="14">
        <f>AJ33-AD33</f>
        <v>0</v>
      </c>
      <c r="AH33" s="15" t="e">
        <f t="shared" ref="AH33:AH34" si="196">(AG33/AF33-1)*100</f>
        <v>#DIV/0!</v>
      </c>
      <c r="AI33" s="14">
        <v>110</v>
      </c>
      <c r="AJ33" s="14">
        <v>0</v>
      </c>
      <c r="AK33" s="15">
        <f t="shared" ref="AK33:AK34" si="197">(AJ33/AI33-1)*100</f>
        <v>-100</v>
      </c>
      <c r="AL33" s="16">
        <f>AO33-AI33</f>
        <v>0</v>
      </c>
      <c r="AM33" s="14">
        <f>AP33-AJ33</f>
        <v>0</v>
      </c>
      <c r="AN33" s="15" t="e">
        <f t="shared" ref="AN33:AN34" si="198">(AM33/AL33-1)*100</f>
        <v>#DIV/0!</v>
      </c>
      <c r="AO33" s="14">
        <v>110</v>
      </c>
      <c r="AP33" s="14">
        <v>0</v>
      </c>
      <c r="AQ33" s="15">
        <f t="shared" ref="AQ33:AQ34" si="199">(AP33/AO33-1)*100</f>
        <v>-100</v>
      </c>
      <c r="AR33" s="16">
        <f>AU33-AO33</f>
        <v>0</v>
      </c>
      <c r="AS33" s="14">
        <f>AV33-AP33</f>
        <v>0</v>
      </c>
      <c r="AT33" s="15" t="e">
        <f t="shared" ref="AT33:AT34" si="200">(AS33/AR33-1)*100</f>
        <v>#DIV/0!</v>
      </c>
      <c r="AU33" s="14">
        <v>110</v>
      </c>
      <c r="AV33" s="14">
        <v>0</v>
      </c>
      <c r="AW33" s="15">
        <f t="shared" ref="AW33:AW34" si="201">(AV33/AU33-1)*100</f>
        <v>-100</v>
      </c>
      <c r="AX33" s="16">
        <f>BA33-AU33</f>
        <v>0</v>
      </c>
      <c r="AY33" s="14">
        <f>BB33-AV33</f>
        <v>0</v>
      </c>
      <c r="AZ33" s="15" t="e">
        <f t="shared" ref="AZ33:AZ34" si="202">(AY33/AX33-1)*100</f>
        <v>#DIV/0!</v>
      </c>
      <c r="BA33" s="14">
        <v>110</v>
      </c>
      <c r="BB33" s="14">
        <v>0</v>
      </c>
      <c r="BC33" s="15">
        <f t="shared" ref="BC33:BC34" si="203">(BB33/BA33-1)*100</f>
        <v>-100</v>
      </c>
      <c r="BD33" s="16">
        <f>BG33-BA33</f>
        <v>0</v>
      </c>
      <c r="BE33" s="14">
        <f>BH33-BB33</f>
        <v>0</v>
      </c>
      <c r="BF33" s="15" t="e">
        <f t="shared" ref="BF33:BF34" si="204">(BE33/BD33-1)*100</f>
        <v>#DIV/0!</v>
      </c>
      <c r="BG33" s="14">
        <v>110</v>
      </c>
      <c r="BH33" s="14">
        <v>0</v>
      </c>
      <c r="BI33" s="15">
        <f t="shared" ref="BI33:BI34" si="205">(BH33/BG33-1)*100</f>
        <v>-100</v>
      </c>
      <c r="BJ33" s="16">
        <f>BM33-BG33</f>
        <v>0</v>
      </c>
      <c r="BK33" s="14">
        <f>BN33-BH33</f>
        <v>0</v>
      </c>
      <c r="BL33" s="15" t="e">
        <f t="shared" ref="BL33:BL34" si="206">(BK33/BJ33-1)*100</f>
        <v>#DIV/0!</v>
      </c>
      <c r="BM33" s="14">
        <v>110</v>
      </c>
      <c r="BN33" s="14">
        <v>0</v>
      </c>
      <c r="BO33" s="15">
        <f t="shared" ref="BO33:BO34" si="207">(BN33/BM33-1)*100</f>
        <v>-100</v>
      </c>
      <c r="BP33" s="16">
        <f>BS33-BM33</f>
        <v>0</v>
      </c>
      <c r="BQ33" s="14">
        <f>BT33-BN33</f>
        <v>0</v>
      </c>
      <c r="BR33" s="15" t="e">
        <f t="shared" ref="BR33:BR34" si="208">(BQ33/BP33-1)*100</f>
        <v>#DIV/0!</v>
      </c>
      <c r="BS33" s="14">
        <v>110</v>
      </c>
      <c r="BT33" s="14">
        <v>0</v>
      </c>
      <c r="BU33" s="15">
        <f t="shared" ref="BU33:BU34" si="209">(BT33/BS33-1)*100</f>
        <v>-100</v>
      </c>
      <c r="BV33" s="16">
        <f>BY33-BS33</f>
        <v>0</v>
      </c>
      <c r="BW33" s="14">
        <f>BZ33-BT33</f>
        <v>0</v>
      </c>
      <c r="BX33" s="15" t="e">
        <f t="shared" ref="BX33:BX34" si="210">(BW33/BV33-1)*100</f>
        <v>#DIV/0!</v>
      </c>
      <c r="BY33" s="14">
        <v>110</v>
      </c>
      <c r="BZ33" s="14">
        <v>0</v>
      </c>
      <c r="CA33" s="15">
        <f t="shared" ref="CA33:CA34" si="211">(BZ33/BY33-1)*100</f>
        <v>-100</v>
      </c>
    </row>
    <row r="34" spans="1:79" s="1" customFormat="1" ht="19.5" customHeight="1">
      <c r="A34" s="154"/>
      <c r="B34" s="115"/>
      <c r="C34" s="33" t="s">
        <v>50</v>
      </c>
      <c r="D34" s="17">
        <v>122700</v>
      </c>
      <c r="E34" s="17">
        <v>130049</v>
      </c>
      <c r="F34" s="17">
        <v>51518</v>
      </c>
      <c r="G34" s="17">
        <v>33621</v>
      </c>
      <c r="H34" s="17">
        <v>1830</v>
      </c>
      <c r="I34" s="17">
        <v>532</v>
      </c>
      <c r="J34" s="17">
        <v>428</v>
      </c>
      <c r="K34" s="17">
        <v>143</v>
      </c>
      <c r="L34" s="17">
        <v>0</v>
      </c>
      <c r="M34" s="18">
        <f t="shared" si="0"/>
        <v>-100</v>
      </c>
      <c r="N34" s="14">
        <f>Q34-K34</f>
        <v>0</v>
      </c>
      <c r="O34" s="14">
        <f>R34-L34</f>
        <v>0</v>
      </c>
      <c r="P34" s="18" t="e">
        <f t="shared" si="1"/>
        <v>#DIV/0!</v>
      </c>
      <c r="Q34" s="17">
        <v>143</v>
      </c>
      <c r="R34" s="17">
        <v>0</v>
      </c>
      <c r="S34" s="18">
        <f t="shared" si="2"/>
        <v>-100</v>
      </c>
      <c r="T34" s="14">
        <f>W34-Q34</f>
        <v>0</v>
      </c>
      <c r="U34" s="14">
        <f>X34-R34</f>
        <v>0</v>
      </c>
      <c r="V34" s="18" t="e">
        <f t="shared" si="192"/>
        <v>#DIV/0!</v>
      </c>
      <c r="W34" s="17">
        <v>143</v>
      </c>
      <c r="X34" s="17">
        <v>0</v>
      </c>
      <c r="Y34" s="18">
        <f t="shared" si="193"/>
        <v>-100</v>
      </c>
      <c r="Z34" s="14">
        <f>AC34-W34</f>
        <v>285</v>
      </c>
      <c r="AA34" s="14">
        <f>AD34-X34</f>
        <v>0</v>
      </c>
      <c r="AB34" s="18">
        <f t="shared" si="194"/>
        <v>-100</v>
      </c>
      <c r="AC34" s="17">
        <v>428</v>
      </c>
      <c r="AD34" s="17">
        <v>0</v>
      </c>
      <c r="AE34" s="18">
        <f t="shared" si="195"/>
        <v>-100</v>
      </c>
      <c r="AF34" s="14">
        <f>AI34-AC34</f>
        <v>0</v>
      </c>
      <c r="AG34" s="14">
        <f>AJ34-AD34</f>
        <v>0</v>
      </c>
      <c r="AH34" s="18" t="e">
        <f t="shared" si="196"/>
        <v>#DIV/0!</v>
      </c>
      <c r="AI34" s="17">
        <v>428</v>
      </c>
      <c r="AJ34" s="17">
        <v>0</v>
      </c>
      <c r="AK34" s="18">
        <f t="shared" si="197"/>
        <v>-100</v>
      </c>
      <c r="AL34" s="14">
        <f>AO34-AI34</f>
        <v>0</v>
      </c>
      <c r="AM34" s="14">
        <f>AP34-AJ34</f>
        <v>0</v>
      </c>
      <c r="AN34" s="18" t="e">
        <f t="shared" si="198"/>
        <v>#DIV/0!</v>
      </c>
      <c r="AO34" s="17">
        <v>428</v>
      </c>
      <c r="AP34" s="17">
        <v>0</v>
      </c>
      <c r="AQ34" s="18">
        <f t="shared" si="199"/>
        <v>-100</v>
      </c>
      <c r="AR34" s="14">
        <f>AU34-AO34</f>
        <v>0</v>
      </c>
      <c r="AS34" s="14">
        <f>AV34-AP34</f>
        <v>0</v>
      </c>
      <c r="AT34" s="18" t="e">
        <f t="shared" si="200"/>
        <v>#DIV/0!</v>
      </c>
      <c r="AU34" s="17">
        <v>428</v>
      </c>
      <c r="AV34" s="17">
        <v>0</v>
      </c>
      <c r="AW34" s="18">
        <f t="shared" si="201"/>
        <v>-100</v>
      </c>
      <c r="AX34" s="14">
        <f>BA34-AU34</f>
        <v>0</v>
      </c>
      <c r="AY34" s="14">
        <f>BB34-AV34</f>
        <v>0</v>
      </c>
      <c r="AZ34" s="18" t="e">
        <f t="shared" si="202"/>
        <v>#DIV/0!</v>
      </c>
      <c r="BA34" s="17">
        <v>428</v>
      </c>
      <c r="BB34" s="17">
        <v>0</v>
      </c>
      <c r="BC34" s="18">
        <f t="shared" si="203"/>
        <v>-100</v>
      </c>
      <c r="BD34" s="14">
        <f>BG34-BA34</f>
        <v>0</v>
      </c>
      <c r="BE34" s="14">
        <f>BH34-BB34</f>
        <v>0</v>
      </c>
      <c r="BF34" s="18" t="e">
        <f t="shared" si="204"/>
        <v>#DIV/0!</v>
      </c>
      <c r="BG34" s="17">
        <v>428</v>
      </c>
      <c r="BH34" s="17">
        <v>0</v>
      </c>
      <c r="BI34" s="18">
        <f t="shared" si="205"/>
        <v>-100</v>
      </c>
      <c r="BJ34" s="14">
        <f>BM34-BG34</f>
        <v>0</v>
      </c>
      <c r="BK34" s="14">
        <f>BN34-BH34</f>
        <v>0</v>
      </c>
      <c r="BL34" s="18" t="e">
        <f t="shared" si="206"/>
        <v>#DIV/0!</v>
      </c>
      <c r="BM34" s="17">
        <v>428</v>
      </c>
      <c r="BN34" s="17">
        <v>0</v>
      </c>
      <c r="BO34" s="18">
        <f t="shared" si="207"/>
        <v>-100</v>
      </c>
      <c r="BP34" s="14">
        <f>BS34-BM34</f>
        <v>0</v>
      </c>
      <c r="BQ34" s="14">
        <f>BT34-BN34</f>
        <v>0</v>
      </c>
      <c r="BR34" s="18" t="e">
        <f t="shared" si="208"/>
        <v>#DIV/0!</v>
      </c>
      <c r="BS34" s="17">
        <v>428</v>
      </c>
      <c r="BT34" s="17">
        <v>0</v>
      </c>
      <c r="BU34" s="18">
        <f t="shared" si="209"/>
        <v>-100</v>
      </c>
      <c r="BV34" s="14">
        <f>BY34-BS34</f>
        <v>0</v>
      </c>
      <c r="BW34" s="14">
        <f>BZ34-BT34</f>
        <v>0</v>
      </c>
      <c r="BX34" s="18" t="e">
        <f t="shared" si="210"/>
        <v>#DIV/0!</v>
      </c>
      <c r="BY34" s="17">
        <v>428</v>
      </c>
      <c r="BZ34" s="17">
        <v>0</v>
      </c>
      <c r="CA34" s="18">
        <f t="shared" si="211"/>
        <v>-100</v>
      </c>
    </row>
    <row r="35" spans="1:79" s="1" customFormat="1" ht="19.5" customHeight="1" thickBot="1">
      <c r="A35" s="155"/>
      <c r="B35" s="116"/>
      <c r="C35" s="41" t="s">
        <v>51</v>
      </c>
      <c r="D35" s="37">
        <f t="shared" ref="D35:L35" si="212">D34/D33</f>
        <v>1.2270000000000001</v>
      </c>
      <c r="E35" s="37">
        <f t="shared" si="212"/>
        <v>1.5283160777032188</v>
      </c>
      <c r="F35" s="37">
        <f t="shared" si="212"/>
        <v>2.3163526819837239</v>
      </c>
      <c r="G35" s="37">
        <f t="shared" si="212"/>
        <v>3.1421495327102802</v>
      </c>
      <c r="H35" s="38">
        <f>H34/H33</f>
        <v>6.1</v>
      </c>
      <c r="I35" s="38">
        <f>I34/I33</f>
        <v>4.9259259259259256</v>
      </c>
      <c r="J35" s="38">
        <f>J34/J33</f>
        <v>3.8909090909090911</v>
      </c>
      <c r="K35" s="38">
        <f t="shared" si="212"/>
        <v>4.46875</v>
      </c>
      <c r="L35" s="38" t="e">
        <f t="shared" si="212"/>
        <v>#DIV/0!</v>
      </c>
      <c r="M35" s="21"/>
      <c r="N35" s="38" t="e">
        <f>N34/N33</f>
        <v>#DIV/0!</v>
      </c>
      <c r="O35" s="38" t="e">
        <f>O34/O33</f>
        <v>#DIV/0!</v>
      </c>
      <c r="P35" s="21"/>
      <c r="Q35" s="38">
        <f>Q34/Q33</f>
        <v>4.46875</v>
      </c>
      <c r="R35" s="38" t="e">
        <f>R34/R33</f>
        <v>#DIV/0!</v>
      </c>
      <c r="S35" s="21"/>
      <c r="T35" s="38" t="e">
        <f>T34/T33</f>
        <v>#DIV/0!</v>
      </c>
      <c r="U35" s="38" t="e">
        <f>U34/U33</f>
        <v>#DIV/0!</v>
      </c>
      <c r="V35" s="21"/>
      <c r="W35" s="38">
        <f>W34/W33</f>
        <v>4.46875</v>
      </c>
      <c r="X35" s="38" t="e">
        <f>X34/X33</f>
        <v>#DIV/0!</v>
      </c>
      <c r="Y35" s="21"/>
      <c r="Z35" s="38">
        <f>Z34/Z33</f>
        <v>3.6538461538461537</v>
      </c>
      <c r="AA35" s="38" t="e">
        <f>AA34/AA33</f>
        <v>#DIV/0!</v>
      </c>
      <c r="AB35" s="21"/>
      <c r="AC35" s="38">
        <f>AC34/AC33</f>
        <v>3.8909090909090911</v>
      </c>
      <c r="AD35" s="38" t="e">
        <f>AD34/AD33</f>
        <v>#DIV/0!</v>
      </c>
      <c r="AE35" s="21"/>
      <c r="AF35" s="38" t="e">
        <f>AF34/AF33</f>
        <v>#DIV/0!</v>
      </c>
      <c r="AG35" s="38" t="e">
        <f>AG34/AG33</f>
        <v>#DIV/0!</v>
      </c>
      <c r="AH35" s="21"/>
      <c r="AI35" s="38">
        <f>AI34/AI33</f>
        <v>3.8909090909090911</v>
      </c>
      <c r="AJ35" s="38" t="e">
        <f>AJ34/AJ33</f>
        <v>#DIV/0!</v>
      </c>
      <c r="AK35" s="21"/>
      <c r="AL35" s="38" t="e">
        <f>AL34/AL33</f>
        <v>#DIV/0!</v>
      </c>
      <c r="AM35" s="38" t="e">
        <f>AM34/AM33</f>
        <v>#DIV/0!</v>
      </c>
      <c r="AN35" s="21"/>
      <c r="AO35" s="38">
        <f>AO34/AO33</f>
        <v>3.8909090909090911</v>
      </c>
      <c r="AP35" s="38" t="e">
        <f>AP34/AP33</f>
        <v>#DIV/0!</v>
      </c>
      <c r="AQ35" s="21"/>
      <c r="AR35" s="38" t="e">
        <f>AR34/AR33</f>
        <v>#DIV/0!</v>
      </c>
      <c r="AS35" s="38" t="e">
        <f>AS34/AS33</f>
        <v>#DIV/0!</v>
      </c>
      <c r="AT35" s="21"/>
      <c r="AU35" s="38">
        <f>AU34/AU33</f>
        <v>3.8909090909090911</v>
      </c>
      <c r="AV35" s="38" t="e">
        <f>AV34/AV33</f>
        <v>#DIV/0!</v>
      </c>
      <c r="AW35" s="21"/>
      <c r="AX35" s="38" t="e">
        <f>AX34/AX33</f>
        <v>#DIV/0!</v>
      </c>
      <c r="AY35" s="38" t="e">
        <f>AY34/AY33</f>
        <v>#DIV/0!</v>
      </c>
      <c r="AZ35" s="21"/>
      <c r="BA35" s="38">
        <f>BA34/BA33</f>
        <v>3.8909090909090911</v>
      </c>
      <c r="BB35" s="38" t="e">
        <f>BB34/BB33</f>
        <v>#DIV/0!</v>
      </c>
      <c r="BC35" s="21"/>
      <c r="BD35" s="38" t="e">
        <f>BD34/BD33</f>
        <v>#DIV/0!</v>
      </c>
      <c r="BE35" s="38" t="e">
        <f>BE34/BE33</f>
        <v>#DIV/0!</v>
      </c>
      <c r="BF35" s="21"/>
      <c r="BG35" s="38">
        <f>BG34/BG33</f>
        <v>3.8909090909090911</v>
      </c>
      <c r="BH35" s="38" t="e">
        <f>BH34/BH33</f>
        <v>#DIV/0!</v>
      </c>
      <c r="BI35" s="21"/>
      <c r="BJ35" s="38" t="e">
        <f>BJ34/BJ33</f>
        <v>#DIV/0!</v>
      </c>
      <c r="BK35" s="38" t="e">
        <f>BK34/BK33</f>
        <v>#DIV/0!</v>
      </c>
      <c r="BL35" s="21"/>
      <c r="BM35" s="38">
        <f>BM34/BM33</f>
        <v>3.8909090909090911</v>
      </c>
      <c r="BN35" s="38" t="e">
        <f>BN34/BN33</f>
        <v>#DIV/0!</v>
      </c>
      <c r="BO35" s="21"/>
      <c r="BP35" s="38" t="e">
        <f>BP34/BP33</f>
        <v>#DIV/0!</v>
      </c>
      <c r="BQ35" s="38" t="e">
        <f>BQ34/BQ33</f>
        <v>#DIV/0!</v>
      </c>
      <c r="BR35" s="21"/>
      <c r="BS35" s="38">
        <f>BS34/BS33</f>
        <v>3.8909090909090911</v>
      </c>
      <c r="BT35" s="38" t="e">
        <f>BT34/BT33</f>
        <v>#DIV/0!</v>
      </c>
      <c r="BU35" s="21"/>
      <c r="BV35" s="38" t="e">
        <f>BV34/BV33</f>
        <v>#DIV/0!</v>
      </c>
      <c r="BW35" s="38" t="e">
        <f>BW34/BW33</f>
        <v>#DIV/0!</v>
      </c>
      <c r="BX35" s="21"/>
      <c r="BY35" s="38">
        <f>BY34/BY33</f>
        <v>3.8909090909090911</v>
      </c>
      <c r="BZ35" s="38" t="e">
        <f>BZ34/BZ33</f>
        <v>#DIV/0!</v>
      </c>
      <c r="CA35" s="21"/>
    </row>
    <row r="36" spans="1:79" s="1" customFormat="1" ht="19.5" customHeight="1">
      <c r="A36" s="151" t="s">
        <v>68</v>
      </c>
      <c r="B36" s="133">
        <v>2613</v>
      </c>
      <c r="C36" s="32" t="s">
        <v>42</v>
      </c>
      <c r="D36" s="14">
        <v>11770751</v>
      </c>
      <c r="E36" s="14">
        <v>22203690</v>
      </c>
      <c r="F36" s="14">
        <v>21275612</v>
      </c>
      <c r="G36" s="14">
        <v>21298733</v>
      </c>
      <c r="H36" s="14">
        <v>22256042</v>
      </c>
      <c r="I36" s="14">
        <v>26597520</v>
      </c>
      <c r="J36" s="14">
        <v>30303060</v>
      </c>
      <c r="K36" s="14">
        <v>2831711</v>
      </c>
      <c r="L36" s="14">
        <v>2574058</v>
      </c>
      <c r="M36" s="15">
        <f t="shared" si="0"/>
        <v>-9.0988451858258106</v>
      </c>
      <c r="N36" s="16">
        <f>Q36-K36</f>
        <v>2814526</v>
      </c>
      <c r="O36" s="14">
        <f>R36-L36</f>
        <v>2292879</v>
      </c>
      <c r="P36" s="15">
        <f t="shared" si="1"/>
        <v>-18.53409774860847</v>
      </c>
      <c r="Q36" s="14">
        <v>5646237</v>
      </c>
      <c r="R36" s="14">
        <v>4866937</v>
      </c>
      <c r="S36" s="15">
        <f t="shared" si="2"/>
        <v>-13.802112805395872</v>
      </c>
      <c r="T36" s="16">
        <f>W36-Q36</f>
        <v>2892335</v>
      </c>
      <c r="U36" s="14">
        <f>X36-R36</f>
        <v>1874418</v>
      </c>
      <c r="V36" s="15">
        <f t="shared" ref="V36:V37" si="213">(U36/T36-1)*100</f>
        <v>-35.193606549725395</v>
      </c>
      <c r="W36" s="14">
        <v>8538572</v>
      </c>
      <c r="X36" s="14">
        <v>6741355</v>
      </c>
      <c r="Y36" s="15">
        <f t="shared" ref="Y36:Y37" si="214">(X36/W36-1)*100</f>
        <v>-21.048215087956159</v>
      </c>
      <c r="Z36" s="16">
        <f>AC36-W36</f>
        <v>2519133</v>
      </c>
      <c r="AA36" s="14">
        <f>AD36-X36</f>
        <v>2912841</v>
      </c>
      <c r="AB36" s="15">
        <f t="shared" ref="AB36:AB37" si="215">(AA36/Z36-1)*100</f>
        <v>15.628710353919395</v>
      </c>
      <c r="AC36" s="14">
        <v>11057705</v>
      </c>
      <c r="AD36" s="14">
        <v>9654196</v>
      </c>
      <c r="AE36" s="15">
        <f t="shared" ref="AE36:AE37" si="216">(AD36/AC36-1)*100</f>
        <v>-12.692588561550522</v>
      </c>
      <c r="AF36" s="16">
        <f>AI36-AC36</f>
        <v>2552148</v>
      </c>
      <c r="AG36" s="14">
        <f>AJ36-AD36</f>
        <v>2322210</v>
      </c>
      <c r="AH36" s="15">
        <f t="shared" ref="AH36:AH37" si="217">(AG36/AF36-1)*100</f>
        <v>-9.0095872182961223</v>
      </c>
      <c r="AI36" s="14">
        <v>13609853</v>
      </c>
      <c r="AJ36" s="14">
        <v>11976406</v>
      </c>
      <c r="AK36" s="15">
        <f t="shared" ref="AK36:AK37" si="218">(AJ36/AI36-1)*100</f>
        <v>-12.001944473610404</v>
      </c>
      <c r="AL36" s="16">
        <f>AO36-AI36</f>
        <v>2854782</v>
      </c>
      <c r="AM36" s="14">
        <f>AP36-AJ36</f>
        <v>2490017</v>
      </c>
      <c r="AN36" s="15">
        <f t="shared" ref="AN36:AN37" si="219">(AM36/AL36-1)*100</f>
        <v>-12.777332910183681</v>
      </c>
      <c r="AO36" s="14">
        <v>16464635</v>
      </c>
      <c r="AP36" s="14">
        <v>14466423</v>
      </c>
      <c r="AQ36" s="15">
        <f t="shared" ref="AQ36:AQ37" si="220">(AP36/AO36-1)*100</f>
        <v>-12.136388082699678</v>
      </c>
      <c r="AR36" s="16">
        <f>AU36-AO36</f>
        <v>2418077</v>
      </c>
      <c r="AS36" s="14">
        <f>AV36-AP36</f>
        <v>2458558</v>
      </c>
      <c r="AT36" s="15">
        <f t="shared" ref="AT36:AT37" si="221">(AS36/AR36-1)*100</f>
        <v>1.67409888105301</v>
      </c>
      <c r="AU36" s="14">
        <v>18882712</v>
      </c>
      <c r="AV36" s="14">
        <v>16924981</v>
      </c>
      <c r="AW36" s="15">
        <f t="shared" ref="AW36:AW37" si="222">(AV36/AU36-1)*100</f>
        <v>-10.367848643775323</v>
      </c>
      <c r="AX36" s="16">
        <f>BA36-AU36</f>
        <v>2365831</v>
      </c>
      <c r="AY36" s="14">
        <f>BB36-AV36</f>
        <v>2443485</v>
      </c>
      <c r="AZ36" s="15">
        <f t="shared" ref="AZ36:AZ37" si="223">(AY36/AX36-1)*100</f>
        <v>3.2823139099961152</v>
      </c>
      <c r="BA36" s="14">
        <v>21248543</v>
      </c>
      <c r="BB36" s="14">
        <v>19368466</v>
      </c>
      <c r="BC36" s="15">
        <f t="shared" ref="BC36:BC37" si="224">(BB36/BA36-1)*100</f>
        <v>-8.848027838897</v>
      </c>
      <c r="BD36" s="16">
        <f>BG36-BA36</f>
        <v>2034167</v>
      </c>
      <c r="BE36" s="14">
        <f>BH36-BB36</f>
        <v>2625120</v>
      </c>
      <c r="BF36" s="15">
        <f t="shared" ref="BF36:BF37" si="225">(BE36/BD36-1)*100</f>
        <v>29.051351241073121</v>
      </c>
      <c r="BG36" s="14">
        <v>23282710</v>
      </c>
      <c r="BH36" s="14">
        <v>21993586</v>
      </c>
      <c r="BI36" s="15">
        <f t="shared" ref="BI36:BI37" si="226">(BH36/BG36-1)*100</f>
        <v>-5.5368296903582142</v>
      </c>
      <c r="BJ36" s="16">
        <f>BM36-BG36</f>
        <v>2417048</v>
      </c>
      <c r="BK36" s="14">
        <f>BN36-BH36</f>
        <v>2239274</v>
      </c>
      <c r="BL36" s="15">
        <f t="shared" ref="BL36:BL37" si="227">(BK36/BJ36-1)*100</f>
        <v>-7.3550049481847291</v>
      </c>
      <c r="BM36" s="14">
        <v>25699758</v>
      </c>
      <c r="BN36" s="14">
        <v>24232860</v>
      </c>
      <c r="BO36" s="15">
        <f t="shared" ref="BO36:BO37" si="228">(BN36/BM36-1)*100</f>
        <v>-5.7078280659296432</v>
      </c>
      <c r="BP36" s="16">
        <f>BS36-BM36</f>
        <v>2069877</v>
      </c>
      <c r="BQ36" s="14">
        <f>BT36-BN36</f>
        <v>2735871</v>
      </c>
      <c r="BR36" s="15">
        <f t="shared" ref="BR36:BR37" si="229">(BQ36/BP36-1)*100</f>
        <v>32.175535068025773</v>
      </c>
      <c r="BS36" s="14">
        <v>27769635</v>
      </c>
      <c r="BT36" s="14">
        <v>26968731</v>
      </c>
      <c r="BU36" s="15">
        <f t="shared" ref="BU36:BU37" si="230">(BT36/BS36-1)*100</f>
        <v>-2.884099845028576</v>
      </c>
      <c r="BV36" s="16">
        <f>BY36-BS36</f>
        <v>2533425</v>
      </c>
      <c r="BW36" s="14">
        <f>BZ36-BT36</f>
        <v>3183037</v>
      </c>
      <c r="BX36" s="15">
        <f t="shared" ref="BX36:BX37" si="231">(BW36/BV36-1)*100</f>
        <v>25.641651124465881</v>
      </c>
      <c r="BY36" s="14">
        <v>30303060</v>
      </c>
      <c r="BZ36" s="14">
        <v>30151768</v>
      </c>
      <c r="CA36" s="15">
        <f t="shared" ref="CA36:CA37" si="232">(BZ36/BY36-1)*100</f>
        <v>-0.49926311072214791</v>
      </c>
    </row>
    <row r="37" spans="1:79" s="1" customFormat="1" ht="19.5" customHeight="1">
      <c r="A37" s="154"/>
      <c r="B37" s="134"/>
      <c r="C37" s="33" t="s">
        <v>50</v>
      </c>
      <c r="D37" s="17">
        <v>167123996</v>
      </c>
      <c r="E37" s="17">
        <v>389150284</v>
      </c>
      <c r="F37" s="17">
        <v>392133609</v>
      </c>
      <c r="G37" s="17">
        <v>315647280</v>
      </c>
      <c r="H37" s="17">
        <v>277106459</v>
      </c>
      <c r="I37" s="17">
        <v>363277799</v>
      </c>
      <c r="J37" s="17">
        <v>264864476</v>
      </c>
      <c r="K37" s="17">
        <v>30719784</v>
      </c>
      <c r="L37" s="17">
        <v>15938149</v>
      </c>
      <c r="M37" s="18">
        <f t="shared" si="0"/>
        <v>-48.117639759446227</v>
      </c>
      <c r="N37" s="14">
        <f>Q37-K37</f>
        <v>30021254</v>
      </c>
      <c r="O37" s="14">
        <f>R37-L37</f>
        <v>15154850</v>
      </c>
      <c r="P37" s="18">
        <f t="shared" si="1"/>
        <v>-49.519597016167282</v>
      </c>
      <c r="Q37" s="17">
        <v>60741038</v>
      </c>
      <c r="R37" s="17">
        <v>31092999</v>
      </c>
      <c r="S37" s="18">
        <f t="shared" si="2"/>
        <v>-48.81055704053</v>
      </c>
      <c r="T37" s="14">
        <f>W37-Q37</f>
        <v>26992623</v>
      </c>
      <c r="U37" s="14">
        <f>X37-R37</f>
        <v>12152017</v>
      </c>
      <c r="V37" s="18">
        <f t="shared" si="213"/>
        <v>-54.980229227815315</v>
      </c>
      <c r="W37" s="17">
        <v>87733661</v>
      </c>
      <c r="X37" s="17">
        <v>43245016</v>
      </c>
      <c r="Y37" s="18">
        <f t="shared" si="214"/>
        <v>-50.708752482128837</v>
      </c>
      <c r="Z37" s="14">
        <f>AC37-W37</f>
        <v>25757488</v>
      </c>
      <c r="AA37" s="14">
        <f>AD37-X37</f>
        <v>18946960</v>
      </c>
      <c r="AB37" s="18">
        <f t="shared" si="215"/>
        <v>-26.440963497682691</v>
      </c>
      <c r="AC37" s="17">
        <v>113491149</v>
      </c>
      <c r="AD37" s="17">
        <v>62191976</v>
      </c>
      <c r="AE37" s="18">
        <f t="shared" si="216"/>
        <v>-45.201034135269879</v>
      </c>
      <c r="AF37" s="14">
        <f>AI37-AC37</f>
        <v>25530217</v>
      </c>
      <c r="AG37" s="14">
        <f>AJ37-AD37</f>
        <v>15675442</v>
      </c>
      <c r="AH37" s="18">
        <f t="shared" si="217"/>
        <v>-38.60043571114182</v>
      </c>
      <c r="AI37" s="17">
        <v>139021366</v>
      </c>
      <c r="AJ37" s="17">
        <v>77867418</v>
      </c>
      <c r="AK37" s="18">
        <f t="shared" si="218"/>
        <v>-43.988884413637543</v>
      </c>
      <c r="AL37" s="14">
        <f>AO37-AI37</f>
        <v>27003419</v>
      </c>
      <c r="AM37" s="14">
        <f>AP37-AJ37</f>
        <v>20295100</v>
      </c>
      <c r="AN37" s="18">
        <f t="shared" si="219"/>
        <v>-24.842480131867749</v>
      </c>
      <c r="AO37" s="17">
        <v>166024785</v>
      </c>
      <c r="AP37" s="17">
        <v>98162518</v>
      </c>
      <c r="AQ37" s="18">
        <f t="shared" si="220"/>
        <v>-40.874780834680799</v>
      </c>
      <c r="AR37" s="14">
        <f>AU37-AO37</f>
        <v>20548337</v>
      </c>
      <c r="AS37" s="14">
        <f>AV37-AP37</f>
        <v>23679807</v>
      </c>
      <c r="AT37" s="18">
        <f t="shared" si="221"/>
        <v>15.239530089466612</v>
      </c>
      <c r="AU37" s="17">
        <v>186573122</v>
      </c>
      <c r="AV37" s="17">
        <v>121842325</v>
      </c>
      <c r="AW37" s="18">
        <f t="shared" si="222"/>
        <v>-34.694599257442881</v>
      </c>
      <c r="AX37" s="14">
        <f>BA37-AU37</f>
        <v>18854032</v>
      </c>
      <c r="AY37" s="14">
        <f>BB37-AV37</f>
        <v>20341687</v>
      </c>
      <c r="AZ37" s="18">
        <f t="shared" si="223"/>
        <v>7.8903812192532508</v>
      </c>
      <c r="BA37" s="17">
        <v>205427154</v>
      </c>
      <c r="BB37" s="17">
        <v>142184012</v>
      </c>
      <c r="BC37" s="18">
        <f t="shared" si="224"/>
        <v>-30.786164715108701</v>
      </c>
      <c r="BD37" s="14">
        <f>BG37-BA37</f>
        <v>15171068</v>
      </c>
      <c r="BE37" s="14">
        <f>BH37-BB37</f>
        <v>23090385</v>
      </c>
      <c r="BF37" s="18">
        <f t="shared" si="225"/>
        <v>52.200128560494228</v>
      </c>
      <c r="BG37" s="17">
        <v>220598222</v>
      </c>
      <c r="BH37" s="17">
        <v>165274397</v>
      </c>
      <c r="BI37" s="18">
        <f t="shared" si="226"/>
        <v>-25.078998596824597</v>
      </c>
      <c r="BJ37" s="14">
        <f>BM37-BG37</f>
        <v>16792815</v>
      </c>
      <c r="BK37" s="14">
        <f>BN37-BH37</f>
        <v>18819111</v>
      </c>
      <c r="BL37" s="18">
        <f t="shared" si="227"/>
        <v>12.066446274790742</v>
      </c>
      <c r="BM37" s="17">
        <v>237391037</v>
      </c>
      <c r="BN37" s="17">
        <v>184093508</v>
      </c>
      <c r="BO37" s="18">
        <f t="shared" si="228"/>
        <v>-22.451365339458874</v>
      </c>
      <c r="BP37" s="14">
        <f>BS37-BM37</f>
        <v>12763251</v>
      </c>
      <c r="BQ37" s="14">
        <f>BT37-BN37</f>
        <v>22414969</v>
      </c>
      <c r="BR37" s="18">
        <f t="shared" si="229"/>
        <v>75.621156396595197</v>
      </c>
      <c r="BS37" s="17">
        <v>250154288</v>
      </c>
      <c r="BT37" s="17">
        <v>206508477</v>
      </c>
      <c r="BU37" s="18">
        <f t="shared" si="230"/>
        <v>-17.447556605545778</v>
      </c>
      <c r="BV37" s="14">
        <f>BY37-BS37</f>
        <v>14710188</v>
      </c>
      <c r="BW37" s="14">
        <f>BZ37-BT37</f>
        <v>25443560</v>
      </c>
      <c r="BX37" s="18">
        <f t="shared" si="231"/>
        <v>72.965566449592629</v>
      </c>
      <c r="BY37" s="17">
        <v>264864476</v>
      </c>
      <c r="BZ37" s="17">
        <v>231952037</v>
      </c>
      <c r="CA37" s="18">
        <f t="shared" si="232"/>
        <v>-12.42614317217836</v>
      </c>
    </row>
    <row r="38" spans="1:79" s="1" customFormat="1" ht="19.5" customHeight="1" thickBot="1">
      <c r="A38" s="155"/>
      <c r="B38" s="135"/>
      <c r="C38" s="41" t="s">
        <v>51</v>
      </c>
      <c r="D38" s="37">
        <f t="shared" ref="D38:L38" si="233">D37/D36</f>
        <v>14.198244105240184</v>
      </c>
      <c r="E38" s="37">
        <f t="shared" si="233"/>
        <v>17.52637890368673</v>
      </c>
      <c r="F38" s="37">
        <f t="shared" si="233"/>
        <v>18.431131804810128</v>
      </c>
      <c r="G38" s="37">
        <f t="shared" si="233"/>
        <v>14.820002673398459</v>
      </c>
      <c r="H38" s="38">
        <f>H37/H36</f>
        <v>12.450841843307089</v>
      </c>
      <c r="I38" s="38">
        <f>I37/I36</f>
        <v>13.658333521320785</v>
      </c>
      <c r="J38" s="38">
        <f>J37/J36</f>
        <v>8.7405191422912409</v>
      </c>
      <c r="K38" s="38">
        <f t="shared" si="233"/>
        <v>10.848488422723928</v>
      </c>
      <c r="L38" s="38">
        <f t="shared" si="233"/>
        <v>6.1918375576618709</v>
      </c>
      <c r="M38" s="21"/>
      <c r="N38" s="38">
        <f>N37/N36</f>
        <v>10.666539943137851</v>
      </c>
      <c r="O38" s="38">
        <f>O37/O36</f>
        <v>6.6095288935874938</v>
      </c>
      <c r="P38" s="21"/>
      <c r="Q38" s="38">
        <f>Q37/Q36</f>
        <v>10.757791073948898</v>
      </c>
      <c r="R38" s="38">
        <f>R37/R36</f>
        <v>6.3886175226841848</v>
      </c>
      <c r="S38" s="21"/>
      <c r="T38" s="38">
        <f>T37/T36</f>
        <v>9.3324677120734627</v>
      </c>
      <c r="U38" s="38">
        <f>U37/U36</f>
        <v>6.4830880838745681</v>
      </c>
      <c r="V38" s="21"/>
      <c r="W38" s="38">
        <f>W37/W36</f>
        <v>10.274980523675387</v>
      </c>
      <c r="X38" s="38">
        <f>X37/X36</f>
        <v>6.4148848414005792</v>
      </c>
      <c r="Y38" s="21"/>
      <c r="Z38" s="38">
        <f>Z37/Z36</f>
        <v>10.22474319537714</v>
      </c>
      <c r="AA38" s="38">
        <f>AA37/AA36</f>
        <v>6.5046324190026166</v>
      </c>
      <c r="AB38" s="21"/>
      <c r="AC38" s="38">
        <f>AC37/AC36</f>
        <v>10.263535607072173</v>
      </c>
      <c r="AD38" s="38">
        <f>AD37/AD36</f>
        <v>6.4419632665423405</v>
      </c>
      <c r="AE38" s="21"/>
      <c r="AF38" s="38">
        <f>AF37/AF36</f>
        <v>10.003423390806489</v>
      </c>
      <c r="AG38" s="38">
        <f>AG37/AG36</f>
        <v>6.7502258624327691</v>
      </c>
      <c r="AH38" s="21"/>
      <c r="AI38" s="38">
        <f>AI37/AI36</f>
        <v>10.214758822156272</v>
      </c>
      <c r="AJ38" s="38">
        <f>AJ37/AJ36</f>
        <v>6.5017349946219261</v>
      </c>
      <c r="AK38" s="21"/>
      <c r="AL38" s="38">
        <f>AL37/AL36</f>
        <v>9.4590126321379362</v>
      </c>
      <c r="AM38" s="38">
        <f>AM37/AM36</f>
        <v>8.1505869237037345</v>
      </c>
      <c r="AN38" s="21"/>
      <c r="AO38" s="38">
        <f>AO37/AO36</f>
        <v>10.083720957069501</v>
      </c>
      <c r="AP38" s="38">
        <f>AP37/AP36</f>
        <v>6.7855418025589325</v>
      </c>
      <c r="AQ38" s="21"/>
      <c r="AR38" s="38">
        <f>AR37/AR36</f>
        <v>8.4978009385143647</v>
      </c>
      <c r="AS38" s="38">
        <f>AS37/AS36</f>
        <v>9.6315836356107933</v>
      </c>
      <c r="AT38" s="21"/>
      <c r="AU38" s="38">
        <f>AU37/AU36</f>
        <v>9.8806316592658927</v>
      </c>
      <c r="AV38" s="38">
        <f>AV37/AV36</f>
        <v>7.1989637684083663</v>
      </c>
      <c r="AW38" s="21"/>
      <c r="AX38" s="38">
        <f>AX37/AX36</f>
        <v>7.969306345212317</v>
      </c>
      <c r="AY38" s="38">
        <f>AY37/AY36</f>
        <v>8.3248667374671825</v>
      </c>
      <c r="AZ38" s="21"/>
      <c r="BA38" s="38">
        <f>BA37/BA36</f>
        <v>9.667823059679904</v>
      </c>
      <c r="BB38" s="38">
        <f>BB37/BB36</f>
        <v>7.3410053227756915</v>
      </c>
      <c r="BC38" s="21"/>
      <c r="BD38" s="38">
        <f>BD37/BD36</f>
        <v>7.4581231531137808</v>
      </c>
      <c r="BE38" s="38">
        <f>BE37/BE36</f>
        <v>8.7959350429694645</v>
      </c>
      <c r="BF38" s="21"/>
      <c r="BG38" s="38">
        <f>BG37/BG36</f>
        <v>9.4747656952304951</v>
      </c>
      <c r="BH38" s="38">
        <f>BH37/BH36</f>
        <v>7.514663456882384</v>
      </c>
      <c r="BI38" s="21"/>
      <c r="BJ38" s="38">
        <f>BJ37/BJ36</f>
        <v>6.9476547424792559</v>
      </c>
      <c r="BK38" s="38">
        <f>BK37/BK36</f>
        <v>8.4041126722321611</v>
      </c>
      <c r="BL38" s="21"/>
      <c r="BM38" s="38">
        <f>BM37/BM36</f>
        <v>9.2370923103633888</v>
      </c>
      <c r="BN38" s="38">
        <f>BN37/BN36</f>
        <v>7.5968543539639972</v>
      </c>
      <c r="BO38" s="21"/>
      <c r="BP38" s="38">
        <f>BP37/BP36</f>
        <v>6.1661881358167658</v>
      </c>
      <c r="BQ38" s="38">
        <f>BQ37/BQ36</f>
        <v>8.192991921037212</v>
      </c>
      <c r="BR38" s="21"/>
      <c r="BS38" s="38">
        <f>BS37/BS36</f>
        <v>9.00819503029118</v>
      </c>
      <c r="BT38" s="38">
        <f>BT37/BT36</f>
        <v>7.6573301502395497</v>
      </c>
      <c r="BU38" s="21"/>
      <c r="BV38" s="38">
        <f>BV37/BV36</f>
        <v>5.8064430563367777</v>
      </c>
      <c r="BW38" s="38">
        <f>BW37/BW36</f>
        <v>7.9934854668670203</v>
      </c>
      <c r="BX38" s="21"/>
      <c r="BY38" s="38">
        <f>BY37/BY36</f>
        <v>8.7405191422912409</v>
      </c>
      <c r="BZ38" s="38">
        <f>BZ37/BZ36</f>
        <v>7.6928171177225826</v>
      </c>
      <c r="CA38" s="21"/>
    </row>
    <row r="39" spans="1:79" s="1" customFormat="1" ht="19.5" customHeight="1">
      <c r="A39" s="151" t="s">
        <v>69</v>
      </c>
      <c r="B39" s="133">
        <v>2614</v>
      </c>
      <c r="C39" s="32" t="s">
        <v>42</v>
      </c>
      <c r="D39" s="14">
        <v>120465885</v>
      </c>
      <c r="E39" s="14">
        <v>123253911</v>
      </c>
      <c r="F39" s="14">
        <v>155463365</v>
      </c>
      <c r="G39" s="14">
        <v>127321837</v>
      </c>
      <c r="H39" s="14">
        <v>129564713</v>
      </c>
      <c r="I39" s="14">
        <v>120455133</v>
      </c>
      <c r="J39" s="14">
        <v>107041066</v>
      </c>
      <c r="K39" s="14">
        <v>24127390</v>
      </c>
      <c r="L39" s="14">
        <v>10173000</v>
      </c>
      <c r="M39" s="15">
        <f t="shared" si="0"/>
        <v>-57.836301398535028</v>
      </c>
      <c r="N39" s="16">
        <f>Q39-K39</f>
        <v>2654378</v>
      </c>
      <c r="O39" s="14">
        <f>R39-L39</f>
        <v>12851933</v>
      </c>
      <c r="P39" s="15">
        <f t="shared" si="1"/>
        <v>384.17870401276684</v>
      </c>
      <c r="Q39" s="14">
        <v>26781768</v>
      </c>
      <c r="R39" s="14">
        <v>23024933</v>
      </c>
      <c r="S39" s="15">
        <f t="shared" si="2"/>
        <v>-14.027583989227299</v>
      </c>
      <c r="T39" s="16">
        <f>W39-Q39</f>
        <v>12119920</v>
      </c>
      <c r="U39" s="14">
        <f>X39-R39</f>
        <v>2133775</v>
      </c>
      <c r="V39" s="15">
        <f t="shared" ref="V39:V40" si="234">(U39/T39-1)*100</f>
        <v>-82.394479501514866</v>
      </c>
      <c r="W39" s="14">
        <v>38901688</v>
      </c>
      <c r="X39" s="14">
        <v>25158708</v>
      </c>
      <c r="Y39" s="15">
        <f t="shared" ref="Y39:Y40" si="235">(X39/W39-1)*100</f>
        <v>-35.327464453470505</v>
      </c>
      <c r="Z39" s="16">
        <f>AC39-W39</f>
        <v>2281500</v>
      </c>
      <c r="AA39" s="14">
        <f>AD39-X39</f>
        <v>10195533</v>
      </c>
      <c r="AB39" s="15">
        <f t="shared" ref="AB39:AB40" si="236">(AA39/Z39-1)*100</f>
        <v>346.87850098619333</v>
      </c>
      <c r="AC39" s="14">
        <v>41183188</v>
      </c>
      <c r="AD39" s="14">
        <v>35354241</v>
      </c>
      <c r="AE39" s="15">
        <f t="shared" ref="AE39:AE40" si="237">(AD39/AC39-1)*100</f>
        <v>-14.15370514783848</v>
      </c>
      <c r="AF39" s="16">
        <f>AI39-AC39</f>
        <v>1484781</v>
      </c>
      <c r="AG39" s="14">
        <f>AJ39-AD39</f>
        <v>1888015</v>
      </c>
      <c r="AH39" s="15">
        <f t="shared" ref="AH39:AH40" si="238">(AG39/AF39-1)*100</f>
        <v>27.157809804947664</v>
      </c>
      <c r="AI39" s="14">
        <v>42667969</v>
      </c>
      <c r="AJ39" s="14">
        <v>37242256</v>
      </c>
      <c r="AK39" s="15">
        <f t="shared" ref="AK39:AK40" si="239">(AJ39/AI39-1)*100</f>
        <v>-12.716126703851316</v>
      </c>
      <c r="AL39" s="16">
        <f>AO39-AI39</f>
        <v>8640000</v>
      </c>
      <c r="AM39" s="14">
        <f>AP39-AJ39</f>
        <v>7684255</v>
      </c>
      <c r="AN39" s="15">
        <f t="shared" ref="AN39:AN40" si="240">(AM39/AL39-1)*100</f>
        <v>-11.061863425925921</v>
      </c>
      <c r="AO39" s="14">
        <v>51307969</v>
      </c>
      <c r="AP39" s="14">
        <v>44926511</v>
      </c>
      <c r="AQ39" s="15">
        <f t="shared" ref="AQ39:AQ40" si="241">(AP39/AO39-1)*100</f>
        <v>-12.437557214552776</v>
      </c>
      <c r="AR39" s="16">
        <f>AU39-AO39</f>
        <v>13115967</v>
      </c>
      <c r="AS39" s="14">
        <f>AV39-AP39</f>
        <v>2594075</v>
      </c>
      <c r="AT39" s="15">
        <f t="shared" ref="AT39:AT40" si="242">(AS39/AR39-1)*100</f>
        <v>-80.222007267935339</v>
      </c>
      <c r="AU39" s="14">
        <v>64423936</v>
      </c>
      <c r="AV39" s="14">
        <v>47520586</v>
      </c>
      <c r="AW39" s="15">
        <f t="shared" ref="AW39:AW40" si="243">(AV39/AU39-1)*100</f>
        <v>-26.237685943311504</v>
      </c>
      <c r="AX39" s="16">
        <f>BA39-AU39</f>
        <v>1199000</v>
      </c>
      <c r="AY39" s="14">
        <f>BB39-AV39</f>
        <v>12638925</v>
      </c>
      <c r="AZ39" s="15">
        <f t="shared" ref="AZ39:AZ40" si="244">(AY39/AX39-1)*100</f>
        <v>954.12218515429515</v>
      </c>
      <c r="BA39" s="14">
        <v>65622936</v>
      </c>
      <c r="BB39" s="14">
        <v>60159511</v>
      </c>
      <c r="BC39" s="15">
        <f t="shared" ref="BC39:BC40" si="245">(BB39/BA39-1)*100</f>
        <v>-8.3254808958867716</v>
      </c>
      <c r="BD39" s="16">
        <f>BG39-BA39</f>
        <v>12477322</v>
      </c>
      <c r="BE39" s="14">
        <f>BH39-BB39</f>
        <v>9429627</v>
      </c>
      <c r="BF39" s="15">
        <f t="shared" ref="BF39:BF40" si="246">(BE39/BD39-1)*100</f>
        <v>-24.425874398368496</v>
      </c>
      <c r="BG39" s="14">
        <v>78100258</v>
      </c>
      <c r="BH39" s="14">
        <v>69589138</v>
      </c>
      <c r="BI39" s="15">
        <f t="shared" ref="BI39:BI40" si="247">(BH39/BG39-1)*100</f>
        <v>-10.897684870644087</v>
      </c>
      <c r="BJ39" s="16">
        <f>BM39-BG39</f>
        <v>25367255</v>
      </c>
      <c r="BK39" s="14">
        <f>BN39-BH39</f>
        <v>1471961</v>
      </c>
      <c r="BL39" s="15">
        <f t="shared" ref="BL39:BL40" si="248">(BK39/BJ39-1)*100</f>
        <v>-94.197397392819994</v>
      </c>
      <c r="BM39" s="14">
        <v>103467513</v>
      </c>
      <c r="BN39" s="14">
        <v>71061099</v>
      </c>
      <c r="BO39" s="15">
        <f t="shared" ref="BO39:BO40" si="249">(BN39/BM39-1)*100</f>
        <v>-31.320375894219087</v>
      </c>
      <c r="BP39" s="16">
        <f>BS39-BM39</f>
        <v>1538001</v>
      </c>
      <c r="BQ39" s="14">
        <f>BT39-BN39</f>
        <v>16434586</v>
      </c>
      <c r="BR39" s="15">
        <f t="shared" ref="BR39:BR40" si="250">(BQ39/BP39-1)*100</f>
        <v>968.56796582056836</v>
      </c>
      <c r="BS39" s="14">
        <v>105005514</v>
      </c>
      <c r="BT39" s="14">
        <v>87495685</v>
      </c>
      <c r="BU39" s="15">
        <f t="shared" ref="BU39:BU40" si="251">(BT39/BS39-1)*100</f>
        <v>-16.67515193535456</v>
      </c>
      <c r="BV39" s="16">
        <f>BY39-BS39</f>
        <v>2035552</v>
      </c>
      <c r="BW39" s="14">
        <f>BZ39-BT39</f>
        <v>2491078</v>
      </c>
      <c r="BX39" s="15">
        <f t="shared" ref="BX39:BX40" si="252">(BW39/BV39-1)*100</f>
        <v>22.378499787772554</v>
      </c>
      <c r="BY39" s="14">
        <v>107041066</v>
      </c>
      <c r="BZ39" s="14">
        <v>89986763</v>
      </c>
      <c r="CA39" s="15">
        <f t="shared" ref="CA39:CA40" si="253">(BZ39/BY39-1)*100</f>
        <v>-15.932486135741586</v>
      </c>
    </row>
    <row r="40" spans="1:79" s="1" customFormat="1" ht="19.5" customHeight="1">
      <c r="A40" s="154"/>
      <c r="B40" s="134"/>
      <c r="C40" s="33" t="s">
        <v>50</v>
      </c>
      <c r="D40" s="17">
        <v>32855296</v>
      </c>
      <c r="E40" s="17">
        <v>34954556</v>
      </c>
      <c r="F40" s="17">
        <v>66132924</v>
      </c>
      <c r="G40" s="17">
        <v>110232878</v>
      </c>
      <c r="H40" s="17">
        <v>67315124</v>
      </c>
      <c r="I40" s="17">
        <v>45532514</v>
      </c>
      <c r="J40" s="17">
        <v>36708278</v>
      </c>
      <c r="K40" s="17">
        <v>5932604</v>
      </c>
      <c r="L40" s="17">
        <v>3455629</v>
      </c>
      <c r="M40" s="18">
        <f t="shared" si="0"/>
        <v>-41.751901862993044</v>
      </c>
      <c r="N40" s="14">
        <f>Q40-K40</f>
        <v>2774406</v>
      </c>
      <c r="O40" s="14">
        <f>R40-L40</f>
        <v>3300531</v>
      </c>
      <c r="P40" s="18">
        <f t="shared" si="1"/>
        <v>18.963518677511516</v>
      </c>
      <c r="Q40" s="17">
        <v>8707010</v>
      </c>
      <c r="R40" s="17">
        <v>6756160</v>
      </c>
      <c r="S40" s="18">
        <f t="shared" si="2"/>
        <v>-22.405510043057262</v>
      </c>
      <c r="T40" s="14">
        <f>W40-Q40</f>
        <v>3484151</v>
      </c>
      <c r="U40" s="14">
        <f>X40-R40</f>
        <v>1886117</v>
      </c>
      <c r="V40" s="18">
        <f t="shared" si="234"/>
        <v>-45.865807767803403</v>
      </c>
      <c r="W40" s="17">
        <v>12191161</v>
      </c>
      <c r="X40" s="17">
        <v>8642277</v>
      </c>
      <c r="Y40" s="18">
        <f t="shared" si="235"/>
        <v>-29.11030376844338</v>
      </c>
      <c r="Z40" s="14">
        <f>AC40-W40</f>
        <v>2358830</v>
      </c>
      <c r="AA40" s="14">
        <f>AD40-X40</f>
        <v>2948430</v>
      </c>
      <c r="AB40" s="18">
        <f t="shared" si="236"/>
        <v>24.995442655892973</v>
      </c>
      <c r="AC40" s="17">
        <v>14549991</v>
      </c>
      <c r="AD40" s="17">
        <v>11590707</v>
      </c>
      <c r="AE40" s="18">
        <f t="shared" si="237"/>
        <v>-20.338734230144883</v>
      </c>
      <c r="AF40" s="14">
        <f>AI40-AC40</f>
        <v>1445681</v>
      </c>
      <c r="AG40" s="14">
        <f>AJ40-AD40</f>
        <v>1641294</v>
      </c>
      <c r="AH40" s="18">
        <f t="shared" si="238"/>
        <v>13.530855008815923</v>
      </c>
      <c r="AI40" s="17">
        <v>15995672</v>
      </c>
      <c r="AJ40" s="17">
        <v>13232001</v>
      </c>
      <c r="AK40" s="18">
        <f t="shared" si="239"/>
        <v>-17.277617345491958</v>
      </c>
      <c r="AL40" s="14">
        <f>AO40-AI40</f>
        <v>2829860</v>
      </c>
      <c r="AM40" s="14">
        <f>AP40-AJ40</f>
        <v>2626828</v>
      </c>
      <c r="AN40" s="18">
        <f t="shared" si="240"/>
        <v>-7.1746305470942069</v>
      </c>
      <c r="AO40" s="17">
        <v>18825532</v>
      </c>
      <c r="AP40" s="17">
        <v>15858829</v>
      </c>
      <c r="AQ40" s="18">
        <f t="shared" si="241"/>
        <v>-15.758933134001207</v>
      </c>
      <c r="AR40" s="14">
        <f>AU40-AO40</f>
        <v>3776621</v>
      </c>
      <c r="AS40" s="14">
        <f>AV40-AP40</f>
        <v>2369973</v>
      </c>
      <c r="AT40" s="18">
        <f t="shared" si="242"/>
        <v>-37.24620500706849</v>
      </c>
      <c r="AU40" s="17">
        <v>22602153</v>
      </c>
      <c r="AV40" s="17">
        <v>18228802</v>
      </c>
      <c r="AW40" s="18">
        <f t="shared" si="243"/>
        <v>-19.349267302101701</v>
      </c>
      <c r="AX40" s="14">
        <f>BA40-AU40</f>
        <v>1294035</v>
      </c>
      <c r="AY40" s="14">
        <f>BB40-AV40</f>
        <v>2598280</v>
      </c>
      <c r="AZ40" s="18">
        <f t="shared" si="244"/>
        <v>100.78900493417878</v>
      </c>
      <c r="BA40" s="17">
        <v>23896188</v>
      </c>
      <c r="BB40" s="17">
        <v>20827082</v>
      </c>
      <c r="BC40" s="18">
        <f t="shared" si="245"/>
        <v>-12.843496209520955</v>
      </c>
      <c r="BD40" s="14">
        <f>BG40-BA40</f>
        <v>3589770</v>
      </c>
      <c r="BE40" s="14">
        <f>BH40-BB40</f>
        <v>2795087</v>
      </c>
      <c r="BF40" s="18">
        <f t="shared" si="246"/>
        <v>-22.137434988871153</v>
      </c>
      <c r="BG40" s="17">
        <v>27485958</v>
      </c>
      <c r="BH40" s="17">
        <v>23622169</v>
      </c>
      <c r="BI40" s="18">
        <f t="shared" si="247"/>
        <v>-14.057319741229325</v>
      </c>
      <c r="BJ40" s="14">
        <f>BM40-BG40</f>
        <v>5619266</v>
      </c>
      <c r="BK40" s="14">
        <f>BN40-BH40</f>
        <v>1256828</v>
      </c>
      <c r="BL40" s="18">
        <f t="shared" si="248"/>
        <v>-77.633591291104565</v>
      </c>
      <c r="BM40" s="17">
        <v>33105224</v>
      </c>
      <c r="BN40" s="17">
        <v>24878997</v>
      </c>
      <c r="BO40" s="18">
        <f t="shared" si="249"/>
        <v>-24.848727801992819</v>
      </c>
      <c r="BP40" s="14">
        <f>BS40-BM40</f>
        <v>1517382</v>
      </c>
      <c r="BQ40" s="14">
        <f>BT40-BN40</f>
        <v>3776698</v>
      </c>
      <c r="BR40" s="18">
        <f t="shared" si="250"/>
        <v>148.8956637155311</v>
      </c>
      <c r="BS40" s="17">
        <v>34622606</v>
      </c>
      <c r="BT40" s="17">
        <v>28655695</v>
      </c>
      <c r="BU40" s="18">
        <f t="shared" si="251"/>
        <v>-17.234147539327338</v>
      </c>
      <c r="BV40" s="14">
        <f>BY40-BS40</f>
        <v>2085672</v>
      </c>
      <c r="BW40" s="14">
        <f>BZ40-BT40</f>
        <v>2181868</v>
      </c>
      <c r="BX40" s="18">
        <f t="shared" si="252"/>
        <v>4.6122304945360515</v>
      </c>
      <c r="BY40" s="17">
        <v>36708278</v>
      </c>
      <c r="BZ40" s="17">
        <v>30837563</v>
      </c>
      <c r="CA40" s="18">
        <f t="shared" si="253"/>
        <v>-15.992891303699942</v>
      </c>
    </row>
    <row r="41" spans="1:79" s="1" customFormat="1" ht="19.5" customHeight="1" thickBot="1">
      <c r="A41" s="155"/>
      <c r="B41" s="135"/>
      <c r="C41" s="41" t="s">
        <v>51</v>
      </c>
      <c r="D41" s="37">
        <f t="shared" ref="D41:L41" si="254">D40/D39</f>
        <v>0.2727352727288726</v>
      </c>
      <c r="E41" s="37">
        <f t="shared" si="254"/>
        <v>0.2835979460319113</v>
      </c>
      <c r="F41" s="37">
        <f t="shared" si="254"/>
        <v>0.42539233600147536</v>
      </c>
      <c r="G41" s="37">
        <f t="shared" si="254"/>
        <v>0.86578139773462426</v>
      </c>
      <c r="H41" s="38">
        <f>H40/H39</f>
        <v>0.51954828163745481</v>
      </c>
      <c r="I41" s="38">
        <f>I40/I39</f>
        <v>0.37800393280043948</v>
      </c>
      <c r="J41" s="38">
        <f>J40/J39</f>
        <v>0.34293640162365346</v>
      </c>
      <c r="K41" s="38">
        <f t="shared" si="254"/>
        <v>0.24588668728776714</v>
      </c>
      <c r="L41" s="38">
        <f t="shared" si="254"/>
        <v>0.33968632655067338</v>
      </c>
      <c r="M41" s="21"/>
      <c r="N41" s="38">
        <f>N40/N39</f>
        <v>1.0452188799033144</v>
      </c>
      <c r="O41" s="38">
        <f>O40/O39</f>
        <v>0.25681202975459022</v>
      </c>
      <c r="P41" s="21"/>
      <c r="Q41" s="38">
        <f>Q40/Q39</f>
        <v>0.32510960441446585</v>
      </c>
      <c r="R41" s="38">
        <f>R40/R39</f>
        <v>0.2934279982486811</v>
      </c>
      <c r="S41" s="21"/>
      <c r="T41" s="38">
        <f>T40/T39</f>
        <v>0.28747310213268734</v>
      </c>
      <c r="U41" s="38">
        <f>U40/U39</f>
        <v>0.88393434171831609</v>
      </c>
      <c r="V41" s="21"/>
      <c r="W41" s="38">
        <f>W40/W39</f>
        <v>0.31338385624808879</v>
      </c>
      <c r="X41" s="38">
        <f>X40/X39</f>
        <v>0.34351036627159076</v>
      </c>
      <c r="Y41" s="21"/>
      <c r="Z41" s="38">
        <f>Z40/Z39</f>
        <v>1.0338943677405217</v>
      </c>
      <c r="AA41" s="38">
        <f>AA40/AA39</f>
        <v>0.28918841221935138</v>
      </c>
      <c r="AB41" s="21"/>
      <c r="AC41" s="38">
        <f>AC40/AC39</f>
        <v>0.35329928804928845</v>
      </c>
      <c r="AD41" s="38">
        <f>AD40/AD39</f>
        <v>0.32784488288123625</v>
      </c>
      <c r="AE41" s="21"/>
      <c r="AF41" s="38">
        <f>AF40/AF39</f>
        <v>0.9736661500921685</v>
      </c>
      <c r="AG41" s="38">
        <f>AG40/AG39</f>
        <v>0.86932254245861396</v>
      </c>
      <c r="AH41" s="21"/>
      <c r="AI41" s="38">
        <f>AI40/AI39</f>
        <v>0.37488711965643362</v>
      </c>
      <c r="AJ41" s="38">
        <f>AJ40/AJ39</f>
        <v>0.35529536663944311</v>
      </c>
      <c r="AK41" s="21"/>
      <c r="AL41" s="38">
        <f>AL40/AL39</f>
        <v>0.32753009259259258</v>
      </c>
      <c r="AM41" s="38">
        <f>AM40/AM39</f>
        <v>0.34184550096268279</v>
      </c>
      <c r="AN41" s="21"/>
      <c r="AO41" s="38">
        <f>AO40/AO39</f>
        <v>0.36691243810488777</v>
      </c>
      <c r="AP41" s="38">
        <f>AP40/AP39</f>
        <v>0.3529948942618758</v>
      </c>
      <c r="AQ41" s="21"/>
      <c r="AR41" s="38">
        <f>AR40/AR39</f>
        <v>0.28794072141230609</v>
      </c>
      <c r="AS41" s="38">
        <f>AS40/AS39</f>
        <v>0.91361005368002079</v>
      </c>
      <c r="AT41" s="21"/>
      <c r="AU41" s="38">
        <f>AU40/AU39</f>
        <v>0.35083471149605017</v>
      </c>
      <c r="AV41" s="38">
        <f>AV40/AV39</f>
        <v>0.38359800529395827</v>
      </c>
      <c r="AW41" s="21"/>
      <c r="AX41" s="38">
        <f>AX40/AX39</f>
        <v>1.0792618849040867</v>
      </c>
      <c r="AY41" s="38">
        <f>AY40/AY39</f>
        <v>0.20557761043759656</v>
      </c>
      <c r="AZ41" s="21"/>
      <c r="BA41" s="38">
        <f>BA40/BA39</f>
        <v>0.36414384141544659</v>
      </c>
      <c r="BB41" s="38">
        <f>BB40/BB39</f>
        <v>0.34619766108138744</v>
      </c>
      <c r="BC41" s="21"/>
      <c r="BD41" s="38">
        <f>BD40/BD39</f>
        <v>0.28770356331270441</v>
      </c>
      <c r="BE41" s="38">
        <f>BE40/BE39</f>
        <v>0.29641543615670057</v>
      </c>
      <c r="BF41" s="21"/>
      <c r="BG41" s="38">
        <f>BG40/BG39</f>
        <v>0.35193171833055914</v>
      </c>
      <c r="BH41" s="38">
        <f>BH40/BH39</f>
        <v>0.33945195584977644</v>
      </c>
      <c r="BI41" s="21"/>
      <c r="BJ41" s="38">
        <f>BJ40/BJ39</f>
        <v>0.22151651804659195</v>
      </c>
      <c r="BK41" s="38">
        <f>BK40/BK39</f>
        <v>0.85384599184353394</v>
      </c>
      <c r="BL41" s="21"/>
      <c r="BM41" s="38">
        <f>BM40/BM39</f>
        <v>0.31995766632566108</v>
      </c>
      <c r="BN41" s="38">
        <f>BN40/BN39</f>
        <v>0.35010712401169025</v>
      </c>
      <c r="BO41" s="21"/>
      <c r="BP41" s="38">
        <f>BP40/BP39</f>
        <v>0.98659363680517764</v>
      </c>
      <c r="BQ41" s="38">
        <f>BQ40/BQ39</f>
        <v>0.22980183376691082</v>
      </c>
      <c r="BR41" s="21"/>
      <c r="BS41" s="38">
        <f>BS40/BS39</f>
        <v>0.32972178965763643</v>
      </c>
      <c r="BT41" s="38">
        <f>BT40/BT39</f>
        <v>0.32750980805510582</v>
      </c>
      <c r="BU41" s="21"/>
      <c r="BV41" s="38">
        <f>BV40/BV39</f>
        <v>1.0246223137507664</v>
      </c>
      <c r="BW41" s="38">
        <f>BW40/BW39</f>
        <v>0.87587301561813802</v>
      </c>
      <c r="BX41" s="21"/>
      <c r="BY41" s="38">
        <f>BY40/BY39</f>
        <v>0.34293640162365346</v>
      </c>
      <c r="BZ41" s="38">
        <f>BZ40/BZ39</f>
        <v>0.3426899909712276</v>
      </c>
      <c r="CA41" s="21"/>
    </row>
    <row r="42" spans="1:79" s="1" customFormat="1" ht="19.5" customHeight="1">
      <c r="A42" s="151" t="s">
        <v>70</v>
      </c>
      <c r="B42" s="114">
        <v>2617</v>
      </c>
      <c r="C42" s="32" t="s">
        <v>42</v>
      </c>
      <c r="D42" s="14">
        <v>23184</v>
      </c>
      <c r="E42" s="14">
        <v>69571</v>
      </c>
      <c r="F42" s="14">
        <v>1864718</v>
      </c>
      <c r="G42" s="14">
        <v>44729</v>
      </c>
      <c r="H42" s="14">
        <v>31587</v>
      </c>
      <c r="I42" s="14">
        <v>638326</v>
      </c>
      <c r="J42" s="14">
        <v>1419809</v>
      </c>
      <c r="K42" s="14">
        <v>29272</v>
      </c>
      <c r="L42" s="14">
        <v>11000</v>
      </c>
      <c r="M42" s="15">
        <f t="shared" si="0"/>
        <v>-62.421426619294884</v>
      </c>
      <c r="N42" s="16">
        <f>Q42-K42</f>
        <v>0</v>
      </c>
      <c r="O42" s="14">
        <f>R42-L42</f>
        <v>77</v>
      </c>
      <c r="P42" s="15" t="e">
        <f t="shared" si="1"/>
        <v>#DIV/0!</v>
      </c>
      <c r="Q42" s="14">
        <v>29272</v>
      </c>
      <c r="R42" s="14">
        <v>11077</v>
      </c>
      <c r="S42" s="15">
        <f t="shared" si="2"/>
        <v>-62.158376605629954</v>
      </c>
      <c r="T42" s="16">
        <f>W42-Q42</f>
        <v>10005</v>
      </c>
      <c r="U42" s="14">
        <f>X42-R42</f>
        <v>10000</v>
      </c>
      <c r="V42" s="15">
        <f t="shared" ref="V42:V43" si="255">(U42/T42-1)*100</f>
        <v>-4.997501249375258E-2</v>
      </c>
      <c r="W42" s="14">
        <v>39277</v>
      </c>
      <c r="X42" s="14">
        <v>21077</v>
      </c>
      <c r="Y42" s="15">
        <f t="shared" ref="Y42:Y43" si="256">(X42/W42-1)*100</f>
        <v>-46.337551238638383</v>
      </c>
      <c r="Z42" s="16">
        <f>AC42-W42</f>
        <v>225028</v>
      </c>
      <c r="AA42" s="14">
        <f>AD42-X42</f>
        <v>2</v>
      </c>
      <c r="AB42" s="15">
        <f t="shared" ref="AB42:AB43" si="257">(AA42/Z42-1)*100</f>
        <v>-99.999111221714628</v>
      </c>
      <c r="AC42" s="14">
        <v>264305</v>
      </c>
      <c r="AD42" s="14">
        <v>21079</v>
      </c>
      <c r="AE42" s="15">
        <f t="shared" ref="AE42:AE43" si="258">(AD42/AC42-1)*100</f>
        <v>-92.024744140292469</v>
      </c>
      <c r="AF42" s="16">
        <f>AI42-AC42</f>
        <v>597828</v>
      </c>
      <c r="AG42" s="14">
        <f>AJ42-AD42</f>
        <v>0</v>
      </c>
      <c r="AH42" s="15">
        <f t="shared" ref="AH42:AH43" si="259">(AG42/AF42-1)*100</f>
        <v>-100</v>
      </c>
      <c r="AI42" s="14">
        <v>862133</v>
      </c>
      <c r="AJ42" s="14">
        <v>21079</v>
      </c>
      <c r="AK42" s="15">
        <f t="shared" ref="AK42:AK43" si="260">(AJ42/AI42-1)*100</f>
        <v>-97.555017613291682</v>
      </c>
      <c r="AL42" s="16">
        <f>AO42-AI42</f>
        <v>213523</v>
      </c>
      <c r="AM42" s="14">
        <f>AP42-AJ42</f>
        <v>10000</v>
      </c>
      <c r="AN42" s="15">
        <f t="shared" ref="AN42:AN43" si="261">(AM42/AL42-1)*100</f>
        <v>-95.316663778609339</v>
      </c>
      <c r="AO42" s="14">
        <v>1075656</v>
      </c>
      <c r="AP42" s="14">
        <v>31079</v>
      </c>
      <c r="AQ42" s="15">
        <f t="shared" ref="AQ42:AQ43" si="262">(AP42/AO42-1)*100</f>
        <v>-97.110693381527184</v>
      </c>
      <c r="AR42" s="16">
        <f>AU42-AO42</f>
        <v>310108</v>
      </c>
      <c r="AS42" s="14">
        <f>AV42-AP42</f>
        <v>10030</v>
      </c>
      <c r="AT42" s="15">
        <f t="shared" ref="AT42:AT43" si="263">(AS42/AR42-1)*100</f>
        <v>-96.765642937299262</v>
      </c>
      <c r="AU42" s="14">
        <v>1385764</v>
      </c>
      <c r="AV42" s="14">
        <v>41109</v>
      </c>
      <c r="AW42" s="15">
        <f t="shared" ref="AW42:AW43" si="264">(AV42/AU42-1)*100</f>
        <v>-97.033477561835923</v>
      </c>
      <c r="AX42" s="16">
        <f>BA42-AU42</f>
        <v>10040</v>
      </c>
      <c r="AY42" s="14">
        <f>BB42-AV42</f>
        <v>0</v>
      </c>
      <c r="AZ42" s="15">
        <f t="shared" ref="AZ42:AZ43" si="265">(AY42/AX42-1)*100</f>
        <v>-100</v>
      </c>
      <c r="BA42" s="14">
        <v>1395804</v>
      </c>
      <c r="BB42" s="14">
        <v>41109</v>
      </c>
      <c r="BC42" s="15">
        <f t="shared" ref="BC42:BC43" si="266">(BB42/BA42-1)*100</f>
        <v>-97.054815719112426</v>
      </c>
      <c r="BD42" s="16">
        <f>BG42-BA42</f>
        <v>0</v>
      </c>
      <c r="BE42" s="14">
        <f>BH42-BB42</f>
        <v>5</v>
      </c>
      <c r="BF42" s="15" t="e">
        <f t="shared" ref="BF42:BF43" si="267">(BE42/BD42-1)*100</f>
        <v>#DIV/0!</v>
      </c>
      <c r="BG42" s="14">
        <v>1395804</v>
      </c>
      <c r="BH42" s="14">
        <v>41114</v>
      </c>
      <c r="BI42" s="15">
        <f t="shared" ref="BI42:BI43" si="268">(BH42/BG42-1)*100</f>
        <v>-97.054457502629305</v>
      </c>
      <c r="BJ42" s="16">
        <f>BM42-BG42</f>
        <v>0</v>
      </c>
      <c r="BK42" s="14">
        <f>BN42-BH42</f>
        <v>0</v>
      </c>
      <c r="BL42" s="15" t="e">
        <f t="shared" ref="BL42:BL43" si="269">(BK42/BJ42-1)*100</f>
        <v>#DIV/0!</v>
      </c>
      <c r="BM42" s="14">
        <v>1395804</v>
      </c>
      <c r="BN42" s="14">
        <v>41114</v>
      </c>
      <c r="BO42" s="15">
        <f t="shared" ref="BO42:BO43" si="270">(BN42/BM42-1)*100</f>
        <v>-97.054457502629305</v>
      </c>
      <c r="BP42" s="16">
        <f>BS42-BM42</f>
        <v>10002</v>
      </c>
      <c r="BQ42" s="14">
        <f>BT42-BN42</f>
        <v>10021</v>
      </c>
      <c r="BR42" s="15">
        <f t="shared" ref="BR42:BR43" si="271">(BQ42/BP42-1)*100</f>
        <v>0.18996200759848758</v>
      </c>
      <c r="BS42" s="14">
        <v>1405806</v>
      </c>
      <c r="BT42" s="14">
        <v>51135</v>
      </c>
      <c r="BU42" s="15">
        <f t="shared" ref="BU42:BU43" si="272">(BT42/BS42-1)*100</f>
        <v>-96.362584880132815</v>
      </c>
      <c r="BV42" s="16">
        <f>BY42-BS42</f>
        <v>14003</v>
      </c>
      <c r="BW42" s="14">
        <f>BZ42-BT42</f>
        <v>0</v>
      </c>
      <c r="BX42" s="15">
        <f t="shared" ref="BX42:BX43" si="273">(BW42/BV42-1)*100</f>
        <v>-100</v>
      </c>
      <c r="BY42" s="14">
        <v>1419809</v>
      </c>
      <c r="BZ42" s="14">
        <v>51135</v>
      </c>
      <c r="CA42" s="15">
        <f t="shared" ref="CA42:CA43" si="274">(BZ42/BY42-1)*100</f>
        <v>-96.39845922937522</v>
      </c>
    </row>
    <row r="43" spans="1:79" s="1" customFormat="1" ht="19.5" customHeight="1">
      <c r="A43" s="152"/>
      <c r="B43" s="120"/>
      <c r="C43" s="33" t="s">
        <v>50</v>
      </c>
      <c r="D43" s="17">
        <v>267527</v>
      </c>
      <c r="E43" s="17">
        <v>460928</v>
      </c>
      <c r="F43" s="17">
        <v>2091820</v>
      </c>
      <c r="G43" s="17">
        <v>707961</v>
      </c>
      <c r="H43" s="17">
        <v>784167</v>
      </c>
      <c r="I43" s="17">
        <v>5061080</v>
      </c>
      <c r="J43" s="17">
        <v>5807067</v>
      </c>
      <c r="K43" s="17">
        <v>108296</v>
      </c>
      <c r="L43" s="17">
        <v>82718</v>
      </c>
      <c r="M43" s="18">
        <f t="shared" si="0"/>
        <v>-23.618600871685015</v>
      </c>
      <c r="N43" s="14">
        <f>Q43-K43</f>
        <v>1114</v>
      </c>
      <c r="O43" s="14">
        <f>R43-L43</f>
        <v>9362</v>
      </c>
      <c r="P43" s="18">
        <f t="shared" si="1"/>
        <v>740.39497307001807</v>
      </c>
      <c r="Q43" s="17">
        <v>109410</v>
      </c>
      <c r="R43" s="17">
        <v>92080</v>
      </c>
      <c r="S43" s="18">
        <f t="shared" si="2"/>
        <v>-15.839502787679372</v>
      </c>
      <c r="T43" s="14">
        <f>W43-Q43</f>
        <v>100068</v>
      </c>
      <c r="U43" s="14">
        <f>X43-R43</f>
        <v>83891</v>
      </c>
      <c r="V43" s="18">
        <f t="shared" si="255"/>
        <v>-16.166007115161683</v>
      </c>
      <c r="W43" s="17">
        <v>209478</v>
      </c>
      <c r="X43" s="17">
        <v>175971</v>
      </c>
      <c r="Y43" s="18">
        <f t="shared" si="256"/>
        <v>-15.995474465098958</v>
      </c>
      <c r="Z43" s="14">
        <f>AC43-W43</f>
        <v>747286</v>
      </c>
      <c r="AA43" s="14">
        <f>AD43-X43</f>
        <v>2917</v>
      </c>
      <c r="AB43" s="18">
        <f t="shared" si="257"/>
        <v>-99.609654135096875</v>
      </c>
      <c r="AC43" s="17">
        <v>956764</v>
      </c>
      <c r="AD43" s="17">
        <v>178888</v>
      </c>
      <c r="AE43" s="18">
        <f t="shared" si="258"/>
        <v>-81.302808216028197</v>
      </c>
      <c r="AF43" s="14">
        <f>AI43-AC43</f>
        <v>2580657</v>
      </c>
      <c r="AG43" s="14">
        <f>AJ43-AD43</f>
        <v>0</v>
      </c>
      <c r="AH43" s="18">
        <f t="shared" si="259"/>
        <v>-100</v>
      </c>
      <c r="AI43" s="17">
        <v>3537421</v>
      </c>
      <c r="AJ43" s="17">
        <v>178888</v>
      </c>
      <c r="AK43" s="18">
        <f t="shared" si="260"/>
        <v>-94.942982472258734</v>
      </c>
      <c r="AL43" s="14">
        <f>AO43-AI43</f>
        <v>761399</v>
      </c>
      <c r="AM43" s="14">
        <f>AP43-AJ43</f>
        <v>83611</v>
      </c>
      <c r="AN43" s="18">
        <f t="shared" si="261"/>
        <v>-89.018766770116585</v>
      </c>
      <c r="AO43" s="17">
        <v>4298820</v>
      </c>
      <c r="AP43" s="17">
        <v>262499</v>
      </c>
      <c r="AQ43" s="18">
        <f t="shared" si="262"/>
        <v>-93.893696409712433</v>
      </c>
      <c r="AR43" s="14">
        <f>AU43-AO43</f>
        <v>1314825</v>
      </c>
      <c r="AS43" s="14">
        <f>AV43-AP43</f>
        <v>85427</v>
      </c>
      <c r="AT43" s="18">
        <f t="shared" si="263"/>
        <v>-93.50278554180214</v>
      </c>
      <c r="AU43" s="17">
        <v>5613645</v>
      </c>
      <c r="AV43" s="17">
        <v>347926</v>
      </c>
      <c r="AW43" s="18">
        <f t="shared" si="264"/>
        <v>-93.802137470395792</v>
      </c>
      <c r="AX43" s="14">
        <f>BA43-AU43</f>
        <v>89346</v>
      </c>
      <c r="AY43" s="14">
        <f>BB43-AV43</f>
        <v>34</v>
      </c>
      <c r="AZ43" s="18">
        <f t="shared" si="265"/>
        <v>-99.961945694267229</v>
      </c>
      <c r="BA43" s="17">
        <v>5702991</v>
      </c>
      <c r="BB43" s="17">
        <v>347960</v>
      </c>
      <c r="BC43" s="18">
        <f t="shared" si="266"/>
        <v>-93.898640204762728</v>
      </c>
      <c r="BD43" s="14">
        <f>BG43-BA43</f>
        <v>20</v>
      </c>
      <c r="BE43" s="14">
        <f>BH43-BB43</f>
        <v>26</v>
      </c>
      <c r="BF43" s="18">
        <f t="shared" si="267"/>
        <v>30.000000000000004</v>
      </c>
      <c r="BG43" s="17">
        <v>5703011</v>
      </c>
      <c r="BH43" s="17">
        <v>347986</v>
      </c>
      <c r="BI43" s="18">
        <f t="shared" si="268"/>
        <v>-93.898205702215904</v>
      </c>
      <c r="BJ43" s="14">
        <f>BM43-BG43</f>
        <v>0</v>
      </c>
      <c r="BK43" s="14">
        <f>BN43-BH43</f>
        <v>0</v>
      </c>
      <c r="BL43" s="18" t="e">
        <f t="shared" si="269"/>
        <v>#DIV/0!</v>
      </c>
      <c r="BM43" s="17">
        <v>5703011</v>
      </c>
      <c r="BN43" s="17">
        <v>347986</v>
      </c>
      <c r="BO43" s="18">
        <f t="shared" si="270"/>
        <v>-93.898205702215904</v>
      </c>
      <c r="BP43" s="14">
        <f>BS43-BM43</f>
        <v>86209</v>
      </c>
      <c r="BQ43" s="14">
        <f>BT43-BN43</f>
        <v>85405</v>
      </c>
      <c r="BR43" s="18">
        <f t="shared" si="271"/>
        <v>-0.93261724413924441</v>
      </c>
      <c r="BS43" s="17">
        <v>5789220</v>
      </c>
      <c r="BT43" s="17">
        <v>433391</v>
      </c>
      <c r="BU43" s="18">
        <f t="shared" si="272"/>
        <v>-92.513827424074407</v>
      </c>
      <c r="BV43" s="14">
        <f>BY43-BS43</f>
        <v>17847</v>
      </c>
      <c r="BW43" s="14">
        <f>BZ43-BT43</f>
        <v>13</v>
      </c>
      <c r="BX43" s="18">
        <f t="shared" si="273"/>
        <v>-99.927158626099626</v>
      </c>
      <c r="BY43" s="17">
        <v>5807067</v>
      </c>
      <c r="BZ43" s="17">
        <v>433404</v>
      </c>
      <c r="CA43" s="18">
        <f t="shared" si="274"/>
        <v>-92.536610994844722</v>
      </c>
    </row>
    <row r="44" spans="1:79" s="1" customFormat="1" ht="19.5" customHeight="1" thickBot="1">
      <c r="A44" s="157"/>
      <c r="B44" s="137"/>
      <c r="C44" s="42" t="s">
        <v>51</v>
      </c>
      <c r="D44" s="25">
        <f t="shared" ref="D44:L44" si="275">D43/D42</f>
        <v>11.539294340924776</v>
      </c>
      <c r="E44" s="25">
        <f t="shared" si="275"/>
        <v>6.6252892728291961</v>
      </c>
      <c r="F44" s="25">
        <f t="shared" si="275"/>
        <v>1.121788924652414</v>
      </c>
      <c r="G44" s="25">
        <f t="shared" si="275"/>
        <v>15.827785105859734</v>
      </c>
      <c r="H44" s="26">
        <f>H43/H42</f>
        <v>24.82562446576123</v>
      </c>
      <c r="I44" s="26">
        <f>I43/I42</f>
        <v>7.9286759430134444</v>
      </c>
      <c r="J44" s="26">
        <f>J43/J42</f>
        <v>4.0900339411850464</v>
      </c>
      <c r="K44" s="26">
        <f t="shared" si="275"/>
        <v>3.6996447116698552</v>
      </c>
      <c r="L44" s="26">
        <f t="shared" si="275"/>
        <v>7.5198181818181817</v>
      </c>
      <c r="M44" s="27"/>
      <c r="N44" s="26" t="e">
        <f>N43/N42</f>
        <v>#DIV/0!</v>
      </c>
      <c r="O44" s="26">
        <f>O43/O42</f>
        <v>121.58441558441558</v>
      </c>
      <c r="P44" s="27"/>
      <c r="Q44" s="26">
        <f>Q43/Q42</f>
        <v>3.7377015578026782</v>
      </c>
      <c r="R44" s="26">
        <f>R43/R42</f>
        <v>8.312720050555205</v>
      </c>
      <c r="S44" s="27"/>
      <c r="T44" s="26">
        <f>T43/T42</f>
        <v>10.001799100449775</v>
      </c>
      <c r="U44" s="26">
        <f>U43/U42</f>
        <v>8.3890999999999991</v>
      </c>
      <c r="V44" s="27"/>
      <c r="W44" s="26">
        <f>W43/W42</f>
        <v>5.3333503067953254</v>
      </c>
      <c r="X44" s="26">
        <f>X43/X42</f>
        <v>8.3489585804431368</v>
      </c>
      <c r="Y44" s="27"/>
      <c r="Z44" s="26">
        <f>Z43/Z42</f>
        <v>3.3208578488010381</v>
      </c>
      <c r="AA44" s="26">
        <f>AA43/AA42</f>
        <v>1458.5</v>
      </c>
      <c r="AB44" s="27"/>
      <c r="AC44" s="26">
        <f>AC43/AC42</f>
        <v>3.6199239514954313</v>
      </c>
      <c r="AD44" s="26">
        <f>AD43/AD42</f>
        <v>8.4865505953792866</v>
      </c>
      <c r="AE44" s="27"/>
      <c r="AF44" s="26">
        <f>AF43/AF42</f>
        <v>4.3167215319456433</v>
      </c>
      <c r="AG44" s="26" t="e">
        <f>AG43/AG42</f>
        <v>#DIV/0!</v>
      </c>
      <c r="AH44" s="27"/>
      <c r="AI44" s="26">
        <f>AI43/AI42</f>
        <v>4.1031035814659687</v>
      </c>
      <c r="AJ44" s="26">
        <f>AJ43/AJ42</f>
        <v>8.4865505953792866</v>
      </c>
      <c r="AK44" s="27"/>
      <c r="AL44" s="26">
        <f>AL43/AL42</f>
        <v>3.5658875156306347</v>
      </c>
      <c r="AM44" s="26">
        <f>AM43/AM42</f>
        <v>8.3611000000000004</v>
      </c>
      <c r="AN44" s="27"/>
      <c r="AO44" s="26">
        <f>AO43/AO42</f>
        <v>3.9964635534036903</v>
      </c>
      <c r="AP44" s="26">
        <f>AP43/AP42</f>
        <v>8.4461855272048645</v>
      </c>
      <c r="AQ44" s="27"/>
      <c r="AR44" s="26">
        <f>AR43/AR42</f>
        <v>4.2398938434351905</v>
      </c>
      <c r="AS44" s="26">
        <f>AS43/AS42</f>
        <v>8.5171485543369894</v>
      </c>
      <c r="AT44" s="27"/>
      <c r="AU44" s="26">
        <f>AU43/AU42</f>
        <v>4.0509386879728435</v>
      </c>
      <c r="AV44" s="26">
        <f>AV43/AV42</f>
        <v>8.4634994770001697</v>
      </c>
      <c r="AW44" s="27"/>
      <c r="AX44" s="26">
        <f>AX43/AX42</f>
        <v>8.8990039840637447</v>
      </c>
      <c r="AY44" s="26" t="e">
        <f>AY43/AY42</f>
        <v>#DIV/0!</v>
      </c>
      <c r="AZ44" s="27"/>
      <c r="BA44" s="26">
        <f>BA43/BA42</f>
        <v>4.0858107585305676</v>
      </c>
      <c r="BB44" s="26">
        <f>BB43/BB42</f>
        <v>8.4643265464983344</v>
      </c>
      <c r="BC44" s="27"/>
      <c r="BD44" s="26" t="e">
        <f>BD43/BD42</f>
        <v>#DIV/0!</v>
      </c>
      <c r="BE44" s="26">
        <f>BE43/BE42</f>
        <v>5.2</v>
      </c>
      <c r="BF44" s="27"/>
      <c r="BG44" s="26">
        <f>BG43/BG42</f>
        <v>4.0858250871898916</v>
      </c>
      <c r="BH44" s="26">
        <f>BH43/BH42</f>
        <v>8.4639295617064754</v>
      </c>
      <c r="BI44" s="27"/>
      <c r="BJ44" s="26" t="e">
        <f>BJ43/BJ42</f>
        <v>#DIV/0!</v>
      </c>
      <c r="BK44" s="26" t="e">
        <f>BK43/BK42</f>
        <v>#DIV/0!</v>
      </c>
      <c r="BL44" s="27"/>
      <c r="BM44" s="26">
        <f>BM43/BM42</f>
        <v>4.0858250871898916</v>
      </c>
      <c r="BN44" s="26">
        <f>BN43/BN42</f>
        <v>8.4639295617064754</v>
      </c>
      <c r="BO44" s="27"/>
      <c r="BP44" s="26">
        <f>BP43/BP42</f>
        <v>8.6191761647670457</v>
      </c>
      <c r="BQ44" s="26">
        <f>BQ43/BQ42</f>
        <v>8.5226025346771781</v>
      </c>
      <c r="BR44" s="27"/>
      <c r="BS44" s="26">
        <f>BS43/BS42</f>
        <v>4.1180788814388327</v>
      </c>
      <c r="BT44" s="26">
        <f>BT43/BT42</f>
        <v>8.4754277891854901</v>
      </c>
      <c r="BU44" s="27"/>
      <c r="BV44" s="26">
        <f>BV43/BV42</f>
        <v>1.2745126044419053</v>
      </c>
      <c r="BW44" s="26" t="e">
        <f>BW43/BW42</f>
        <v>#DIV/0!</v>
      </c>
      <c r="BX44" s="27"/>
      <c r="BY44" s="26">
        <f>BY43/BY42</f>
        <v>4.0900339411850464</v>
      </c>
      <c r="BZ44" s="26">
        <f>BZ43/BZ42</f>
        <v>8.4756820181871522</v>
      </c>
      <c r="CA44" s="27"/>
    </row>
    <row r="45" spans="1:79" s="3" customFormat="1" ht="19.5" customHeight="1" thickTop="1">
      <c r="A45" s="127" t="s">
        <v>11</v>
      </c>
      <c r="B45" s="128"/>
      <c r="C45" s="5" t="s">
        <v>42</v>
      </c>
      <c r="D45" s="28">
        <f t="shared" ref="D45:L46" si="276">D6+D9+D12+D15+D18+D21+D24+D27+D30+D33+D36+D39+D42</f>
        <v>4910541490</v>
      </c>
      <c r="E45" s="28">
        <f t="shared" si="276"/>
        <v>5266102204</v>
      </c>
      <c r="F45" s="28">
        <f>F6+F9+F12+F15+F18+F21+F24+F27+F30+F33+F36+F39+F42</f>
        <v>5555698684</v>
      </c>
      <c r="G45" s="28">
        <f>G6+G9+G12+G15+G18+G21+G24+G27+G30+G33+G36+G39+G42</f>
        <v>5900431053</v>
      </c>
      <c r="H45" s="28">
        <f>H6+H9+H12+H15+H18+H21+H24+H27+H30+H33+H36+H39+H42</f>
        <v>6192973293</v>
      </c>
      <c r="I45" s="39">
        <f>I6+I9+I12+I15+I18+I21+I24+I27+I30+I33+I36+I39+I42</f>
        <v>6178249683</v>
      </c>
      <c r="J45" s="28">
        <f>J6+J9+J12+J15+J18+J21+J24+J27+J30+J33+J36+J39+J42</f>
        <v>7416205036</v>
      </c>
      <c r="K45" s="28">
        <f t="shared" si="276"/>
        <v>548865760</v>
      </c>
      <c r="L45" s="28">
        <f t="shared" si="276"/>
        <v>531454772</v>
      </c>
      <c r="M45" s="15">
        <f t="shared" si="0"/>
        <v>-3.1721760162266244</v>
      </c>
      <c r="N45" s="28">
        <f>N6+N9+N12+N15+N18+N21+N24+N27+N30+N33+N36+N39+N42</f>
        <v>438151722</v>
      </c>
      <c r="O45" s="28">
        <f>O6+O9+O12+O15+O18+O21+O24+O27+O30+O33+O36+O39+O42</f>
        <v>556692007</v>
      </c>
      <c r="P45" s="15">
        <f t="shared" si="1"/>
        <v>27.054620362761007</v>
      </c>
      <c r="Q45" s="28">
        <f>Q6+Q9+Q12+Q15+Q18+Q21+Q24+Q27+Q30+Q33+Q36+Q39+Q42</f>
        <v>987017482</v>
      </c>
      <c r="R45" s="28">
        <f>R6+R9+R12+R15+R18+R21+R24+R27+R30+R33+R36+R39+R42</f>
        <v>1088146779</v>
      </c>
      <c r="S45" s="15">
        <f t="shared" si="2"/>
        <v>10.245947903078779</v>
      </c>
      <c r="T45" s="28">
        <f>T6+T9+T12+T15+T18+T21+T24+T27+T30+T33+T36+T39+T42</f>
        <v>436506468</v>
      </c>
      <c r="U45" s="28">
        <f>U6+U9+U12+U15+U18+U21+U24+U27+U30+U33+U36+U39+U42</f>
        <v>648532907</v>
      </c>
      <c r="V45" s="15">
        <f t="shared" ref="V45:V46" si="277">(U45/T45-1)*100</f>
        <v>48.573493073646731</v>
      </c>
      <c r="W45" s="28">
        <f>W6+W9+W12+W15+W18+W21+W24+W27+W30+W33+W36+W39+W42</f>
        <v>1423523950</v>
      </c>
      <c r="X45" s="28">
        <f>X6+X9+X12+X15+X18+X21+X24+X27+X30+X33+X36+X39+X42</f>
        <v>1736679686</v>
      </c>
      <c r="Y45" s="15">
        <f t="shared" ref="Y45:Y46" si="278">(X45/W45-1)*100</f>
        <v>21.998627841842765</v>
      </c>
      <c r="Z45" s="28">
        <f>Z6+Z9+Z12+Z15+Z18+Z21+Z24+Z27+Z30+Z33+Z36+Z39+Z42</f>
        <v>646469090</v>
      </c>
      <c r="AA45" s="28">
        <f>AA6+AA9+AA12+AA15+AA18+AA21+AA24+AA27+AA30+AA33+AA36+AA39+AA42</f>
        <v>557852960</v>
      </c>
      <c r="AB45" s="15">
        <f t="shared" ref="AB45:AB46" si="279">(AA45/Z45-1)*100</f>
        <v>-13.707713388121935</v>
      </c>
      <c r="AC45" s="28">
        <f>AC6+AC9+AC12+AC15+AC18+AC21+AC24+AC27+AC30+AC33+AC36+AC39+AC42</f>
        <v>2069993040</v>
      </c>
      <c r="AD45" s="28">
        <f>AD6+AD9+AD12+AD15+AD18+AD21+AD24+AD27+AD30+AD33+AD36+AD39+AD42</f>
        <v>2294532646</v>
      </c>
      <c r="AE45" s="15">
        <f t="shared" ref="AE45:AE46" si="280">(AD45/AC45-1)*100</f>
        <v>10.847360433637011</v>
      </c>
      <c r="AF45" s="28">
        <f>AF6+AF9+AF12+AF15+AF18+AF21+AF24+AF27+AF30+AF33+AF36+AF39+AF42</f>
        <v>634285851</v>
      </c>
      <c r="AG45" s="28">
        <f>AG6+AG9+AG12+AG15+AG18+AG21+AG24+AG27+AG30+AG33+AG36+AG39+AG42</f>
        <v>625240866</v>
      </c>
      <c r="AH45" s="15">
        <f t="shared" ref="AH45:AH46" si="281">(AG45/AF45-1)*100</f>
        <v>-1.4260108412854966</v>
      </c>
      <c r="AI45" s="28">
        <f>AI6+AI9+AI12+AI15+AI18+AI21+AI24+AI27+AI30+AI33+AI36+AI39+AI42</f>
        <v>2704278891</v>
      </c>
      <c r="AJ45" s="28">
        <f>AJ6+AJ9+AJ12+AJ15+AJ18+AJ21+AJ24+AJ27+AJ30+AJ33+AJ36+AJ39+AJ42</f>
        <v>2919773512</v>
      </c>
      <c r="AK45" s="15">
        <f t="shared" ref="AK45:AK46" si="282">(AJ45/AI45-1)*100</f>
        <v>7.9686537404547675</v>
      </c>
      <c r="AL45" s="28">
        <f>AL6+AL9+AL12+AL15+AL18+AL21+AL24+AL27+AL30+AL33+AL36+AL39+AL42</f>
        <v>525373956</v>
      </c>
      <c r="AM45" s="28">
        <f>AM6+AM9+AM12+AM15+AM18+AM21+AM24+AM27+AM30+AM33+AM36+AM39+AM42</f>
        <v>717897838</v>
      </c>
      <c r="AN45" s="15">
        <f t="shared" ref="AN45:AN46" si="283">(AM45/AL45-1)*100</f>
        <v>36.64511340946639</v>
      </c>
      <c r="AO45" s="28">
        <f>AO6+AO9+AO12+AO15+AO18+AO21+AO24+AO27+AO30+AO33+AO36+AO39+AO42</f>
        <v>3229652847</v>
      </c>
      <c r="AP45" s="28">
        <f>AP6+AP9+AP12+AP15+AP18+AP21+AP24+AP27+AP30+AP33+AP36+AP39+AP42</f>
        <v>3637671350</v>
      </c>
      <c r="AQ45" s="15">
        <f t="shared" ref="AQ45:AQ46" si="284">(AP45/AO45-1)*100</f>
        <v>12.633509616335559</v>
      </c>
      <c r="AR45" s="28">
        <f>AR6+AR9+AR12+AR15+AR18+AR21+AR24+AR27+AR30+AR33+AR36+AR39+AR42</f>
        <v>674941538</v>
      </c>
      <c r="AS45" s="28">
        <f>AS6+AS9+AS12+AS15+AS18+AS21+AS24+AS27+AS30+AS33+AS36+AS39+AS42</f>
        <v>803350282</v>
      </c>
      <c r="AT45" s="15">
        <f t="shared" ref="AT45:AT46" si="285">(AS45/AR45-1)*100</f>
        <v>19.02516540625183</v>
      </c>
      <c r="AU45" s="28">
        <f>AU6+AU9+AU12+AU15+AU18+AU21+AU24+AU27+AU30+AU33+AU36+AU39+AU42</f>
        <v>3904594385</v>
      </c>
      <c r="AV45" s="28">
        <f>AV6+AV9+AV12+AV15+AV18+AV21+AV24+AV27+AV30+AV33+AV36+AV39+AV42</f>
        <v>4441021632</v>
      </c>
      <c r="AW45" s="15">
        <f t="shared" ref="AW45:AW46" si="286">(AV45/AU45-1)*100</f>
        <v>13.738360354682522</v>
      </c>
      <c r="AX45" s="28">
        <f>AX6+AX9+AX12+AX15+AX18+AX21+AX24+AX27+AX30+AX33+AX36+AX39+AX42</f>
        <v>595403479</v>
      </c>
      <c r="AY45" s="28">
        <f>AY6+AY9+AY12+AY15+AY18+AY21+AY24+AY27+AY30+AY33+AY36+AY39+AY42</f>
        <v>674505501</v>
      </c>
      <c r="AZ45" s="15">
        <f t="shared" ref="AZ45:AZ46" si="287">(AY45/AX45-1)*100</f>
        <v>13.285448404308031</v>
      </c>
      <c r="BA45" s="28">
        <f>BA6+BA9+BA12+BA15+BA18+BA21+BA24+BA27+BA30+BA33+BA36+BA39+BA42</f>
        <v>4499997864</v>
      </c>
      <c r="BB45" s="28">
        <f>BB6+BB9+BB12+BB15+BB18+BB21+BB24+BB27+BB30+BB33+BB36+BB39+BB42</f>
        <v>5115527133</v>
      </c>
      <c r="BC45" s="15">
        <f t="shared" ref="BC45:BC46" si="288">(BB45/BA45-1)*100</f>
        <v>13.678434692697007</v>
      </c>
      <c r="BD45" s="28">
        <f>BD6+BD9+BD12+BD15+BD18+BD21+BD24+BD27+BD30+BD33+BD36+BD39+BD42</f>
        <v>696443256</v>
      </c>
      <c r="BE45" s="28">
        <f>BE6+BE9+BE12+BE15+BE18+BE21+BE24+BE27+BE30+BE33+BE36+BE39+BE42</f>
        <v>704686687</v>
      </c>
      <c r="BF45" s="15">
        <f t="shared" ref="BF45:BF46" si="289">(BE45/BD45-1)*100</f>
        <v>1.1836471857514796</v>
      </c>
      <c r="BG45" s="28">
        <f>BG6+BG9+BG12+BG15+BG18+BG21+BG24+BG27+BG30+BG33+BG36+BG39+BG42</f>
        <v>5196441120</v>
      </c>
      <c r="BH45" s="28">
        <f>BH6+BH9+BH12+BH15+BH18+BH21+BH24+BH27+BH30+BH33+BH36+BH39+BH42</f>
        <v>5820213820</v>
      </c>
      <c r="BI45" s="15">
        <f t="shared" ref="BI45:BI46" si="290">(BH45/BG45-1)*100</f>
        <v>12.003844277177155</v>
      </c>
      <c r="BJ45" s="28">
        <f>BJ6+BJ9+BJ12+BJ15+BJ18+BJ21+BJ24+BJ27+BJ30+BJ33+BJ36+BJ39+BJ42</f>
        <v>558535794</v>
      </c>
      <c r="BK45" s="28">
        <f>BK6+BK9+BK12+BK15+BK18+BK21+BK24+BK27+BK30+BK33+BK36+BK39+BK42</f>
        <v>749719840</v>
      </c>
      <c r="BL45" s="15">
        <f t="shared" ref="BL45:BL46" si="291">(BK45/BJ45-1)*100</f>
        <v>34.229506515745342</v>
      </c>
      <c r="BM45" s="28">
        <f>BM6+BM9+BM12+BM15+BM18+BM21+BM24+BM27+BM30+BM33+BM36+BM39+BM42</f>
        <v>5754976914</v>
      </c>
      <c r="BN45" s="28">
        <f>BN6+BN9+BN12+BN15+BN18+BN21+BN24+BN27+BN30+BN33+BN36+BN39+BN42</f>
        <v>6569933660</v>
      </c>
      <c r="BO45" s="15">
        <f t="shared" ref="BO45:BO46" si="292">(BN45/BM45-1)*100</f>
        <v>14.160903825999259</v>
      </c>
      <c r="BP45" s="28">
        <f>BP6+BP9+BP12+BP15+BP18+BP21+BP24+BP27+BP30+BP33+BP36+BP39+BP42</f>
        <v>782284524</v>
      </c>
      <c r="BQ45" s="28">
        <f>BQ6+BQ9+BQ12+BQ15+BQ18+BQ21+BQ24+BQ27+BQ30+BQ33+BQ36+BQ39+BQ42</f>
        <v>697091318</v>
      </c>
      <c r="BR45" s="15">
        <f t="shared" ref="BR45:BR46" si="293">(BQ45/BP45-1)*100</f>
        <v>-10.890309521194109</v>
      </c>
      <c r="BS45" s="28">
        <f>BS6+BS9+BS12+BS15+BS18+BS21+BS24+BS27+BS30+BS33+BS36+BS39+BS42</f>
        <v>6537261438</v>
      </c>
      <c r="BT45" s="28">
        <f>BT6+BT9+BT12+BT15+BT18+BT21+BT24+BT27+BT30+BT33+BT36+BT39+BT42</f>
        <v>7267024978</v>
      </c>
      <c r="BU45" s="15">
        <f t="shared" ref="BU45:BU46" si="294">(BT45/BS45-1)*100</f>
        <v>11.163138371031135</v>
      </c>
      <c r="BV45" s="28">
        <f>BV6+BV9+BV12+BV15+BV18+BV21+BV24+BV27+BV30+BV33+BV36+BV39+BV42</f>
        <v>878943598</v>
      </c>
      <c r="BW45" s="28">
        <f>BW6+BW9+BW12+BW15+BW18+BW21+BW24+BW27+BW30+BW33+BW36+BW39+BW42</f>
        <v>666868788</v>
      </c>
      <c r="BX45" s="15">
        <f t="shared" ref="BX45:BX46" si="295">(BW45/BV45-1)*100</f>
        <v>-24.128375299913163</v>
      </c>
      <c r="BY45" s="28">
        <f>BY6+BY9+BY12+BY15+BY18+BY21+BY24+BY27+BY30+BY33+BY36+BY39+BY42</f>
        <v>7416205036</v>
      </c>
      <c r="BZ45" s="28">
        <f>BZ6+BZ9+BZ12+BZ15+BZ18+BZ21+BZ24+BZ27+BZ30+BZ33+BZ36+BZ39+BZ42</f>
        <v>7933893766</v>
      </c>
      <c r="CA45" s="15">
        <f t="shared" ref="CA45:CA46" si="296">(BZ45/BY45-1)*100</f>
        <v>6.9805072471299967</v>
      </c>
    </row>
    <row r="46" spans="1:79" s="3" customFormat="1" ht="19.5" customHeight="1">
      <c r="A46" s="129"/>
      <c r="B46" s="130"/>
      <c r="C46" s="4" t="s">
        <v>50</v>
      </c>
      <c r="D46" s="29">
        <f t="shared" si="276"/>
        <v>4906267453</v>
      </c>
      <c r="E46" s="29">
        <f t="shared" si="276"/>
        <v>6986536052</v>
      </c>
      <c r="F46" s="29">
        <f t="shared" si="276"/>
        <v>9263545025</v>
      </c>
      <c r="G46" s="29">
        <f>G7+G10+G13+G16+G19+G22+G25+G28+G31+G34+G37+G40+G43</f>
        <v>8390641691</v>
      </c>
      <c r="H46" s="29">
        <f>H7+H10+H13+H16+H19+H22+H25+H28+H31+H34+H37+H40+H43</f>
        <v>7055584448</v>
      </c>
      <c r="I46" s="40">
        <f>I7+I10+I13+I16+I19+I22+I25+I28+I31+I34+I37+I40+I43</f>
        <v>7199836175</v>
      </c>
      <c r="J46" s="29">
        <f>J7+J10+J13+J16+J19+J22+J25+J28+J31+J34+J37+J40+J43</f>
        <v>6403201974</v>
      </c>
      <c r="K46" s="29">
        <f t="shared" si="276"/>
        <v>597426928</v>
      </c>
      <c r="L46" s="29">
        <f t="shared" si="276"/>
        <v>420343621</v>
      </c>
      <c r="M46" s="18">
        <f t="shared" si="0"/>
        <v>-29.640998538987851</v>
      </c>
      <c r="N46" s="29">
        <f>N7+N10+N13+N16+N19+N22+N25+N28+N31+N34+N37+N40+N43</f>
        <v>448905281</v>
      </c>
      <c r="O46" s="29">
        <f>O7+O10+O13+O16+O19+O22+O25+O28+O31+O34+O37+O40+O43</f>
        <v>471293045</v>
      </c>
      <c r="P46" s="18">
        <f t="shared" si="1"/>
        <v>4.9871910506662065</v>
      </c>
      <c r="Q46" s="29">
        <f>Q7+Q10+Q13+Q16+Q19+Q22+Q25+Q28+Q31+Q34+Q37+Q40+Q43</f>
        <v>1046332209</v>
      </c>
      <c r="R46" s="29">
        <f>R7+R10+R13+R16+R19+R22+R25+R28+R31+R34+R37+R40+R43</f>
        <v>891636666</v>
      </c>
      <c r="S46" s="18">
        <f t="shared" si="2"/>
        <v>-14.784553287129098</v>
      </c>
      <c r="T46" s="29">
        <f>T7+T10+T13+T16+T19+T22+T25+T28+T31+T34+T37+T40+T43</f>
        <v>463607511</v>
      </c>
      <c r="U46" s="29">
        <f>U7+U10+U13+U16+U19+U22+U25+U28+U31+U34+U37+U40+U43</f>
        <v>478987275</v>
      </c>
      <c r="V46" s="18">
        <f t="shared" si="277"/>
        <v>3.3174104463549181</v>
      </c>
      <c r="W46" s="29">
        <f>W7+W10+W13+W16+W19+W22+W25+W28+W31+W34+W37+W40+W43</f>
        <v>1509939720</v>
      </c>
      <c r="X46" s="29">
        <f>X7+X10+X13+X16+X19+X22+X25+X28+X31+X34+X37+X40+X43</f>
        <v>1370623941</v>
      </c>
      <c r="Y46" s="18">
        <f t="shared" si="278"/>
        <v>-9.2265788597176606</v>
      </c>
      <c r="Z46" s="29">
        <f>Z7+Z10+Z13+Z16+Z19+Z22+Z25+Z28+Z31+Z34+Z37+Z40+Z43</f>
        <v>516165916</v>
      </c>
      <c r="AA46" s="29">
        <f>AA7+AA10+AA13+AA16+AA19+AA22+AA25+AA28+AA31+AA34+AA37+AA40+AA43</f>
        <v>498747495</v>
      </c>
      <c r="AB46" s="18">
        <f t="shared" si="279"/>
        <v>-3.3745779138194765</v>
      </c>
      <c r="AC46" s="29">
        <f>AC7+AC10+AC13+AC16+AC19+AC22+AC25+AC28+AC31+AC34+AC37+AC40+AC43</f>
        <v>2026105636</v>
      </c>
      <c r="AD46" s="29">
        <f>AD7+AD10+AD13+AD16+AD19+AD22+AD25+AD28+AD31+AD34+AD37+AD40+AD43</f>
        <v>1869371436</v>
      </c>
      <c r="AE46" s="18">
        <f t="shared" si="280"/>
        <v>-7.7357368349968869</v>
      </c>
      <c r="AF46" s="29">
        <f>AF7+AF10+AF13+AF16+AF19+AF22+AF25+AF28+AF31+AF34+AF37+AF40+AF43</f>
        <v>665096107</v>
      </c>
      <c r="AG46" s="29">
        <f>AG7+AG10+AG13+AG16+AG19+AG22+AG25+AG28+AG31+AG34+AG37+AG40+AG43</f>
        <v>436531658</v>
      </c>
      <c r="AH46" s="18">
        <f t="shared" si="281"/>
        <v>-34.365627252122835</v>
      </c>
      <c r="AI46" s="29">
        <f>AI7+AI10+AI13+AI16+AI19+AI22+AI25+AI28+AI31+AI34+AI37+AI40+AI43</f>
        <v>2691201743</v>
      </c>
      <c r="AJ46" s="29">
        <f>AJ7+AJ10+AJ13+AJ16+AJ19+AJ22+AJ25+AJ28+AJ31+AJ34+AJ37+AJ40+AJ43</f>
        <v>2305903094</v>
      </c>
      <c r="AK46" s="18">
        <f t="shared" si="282"/>
        <v>-14.31697382042012</v>
      </c>
      <c r="AL46" s="29">
        <f>AL7+AL10+AL13+AL16+AL19+AL22+AL25+AL28+AL31+AL34+AL37+AL40+AL43</f>
        <v>553692864</v>
      </c>
      <c r="AM46" s="29">
        <f>AM7+AM10+AM13+AM16+AM19+AM22+AM25+AM28+AM31+AM34+AM37+AM40+AM43</f>
        <v>534400022</v>
      </c>
      <c r="AN46" s="18">
        <f t="shared" si="283"/>
        <v>-3.4843941929509903</v>
      </c>
      <c r="AO46" s="29">
        <f>AO7+AO10+AO13+AO16+AO19+AO22+AO25+AO28+AO31+AO34+AO37+AO40+AO43</f>
        <v>3244894607</v>
      </c>
      <c r="AP46" s="29">
        <f>AP7+AP10+AP13+AP16+AP19+AP22+AP25+AP28+AP31+AP34+AP37+AP40+AP43</f>
        <v>2840303116</v>
      </c>
      <c r="AQ46" s="18">
        <f t="shared" si="284"/>
        <v>-12.468555685204731</v>
      </c>
      <c r="AR46" s="29">
        <f>AR7+AR10+AR13+AR16+AR19+AR22+AR25+AR28+AR31+AR34+AR37+AR40+AR43</f>
        <v>616581002</v>
      </c>
      <c r="AS46" s="29">
        <f>AS7+AS10+AS13+AS16+AS19+AS22+AS25+AS28+AS31+AS34+AS37+AS40+AS43</f>
        <v>649485960</v>
      </c>
      <c r="AT46" s="18">
        <f t="shared" si="285"/>
        <v>5.3366804837103876</v>
      </c>
      <c r="AU46" s="29">
        <f>AU7+AU10+AU13+AU16+AU19+AU22+AU25+AU28+AU31+AU34+AU37+AU40+AU43</f>
        <v>3861475609</v>
      </c>
      <c r="AV46" s="29">
        <f>AV7+AV10+AV13+AV16+AV19+AV22+AV25+AV28+AV31+AV34+AV37+AV40+AV43</f>
        <v>3489789076</v>
      </c>
      <c r="AW46" s="18">
        <f t="shared" si="286"/>
        <v>-9.6255051341954445</v>
      </c>
      <c r="AX46" s="29">
        <f>AX7+AX10+AX13+AX16+AX19+AX22+AX25+AX28+AX31+AX34+AX37+AX40+AX43</f>
        <v>477180199</v>
      </c>
      <c r="AY46" s="29">
        <f>AY7+AY10+AY13+AY16+AY19+AY22+AY25+AY28+AY31+AY34+AY37+AY40+AY43</f>
        <v>562617510</v>
      </c>
      <c r="AZ46" s="18">
        <f t="shared" si="287"/>
        <v>17.904622023094461</v>
      </c>
      <c r="BA46" s="29">
        <f>BA7+BA10+BA13+BA16+BA19+BA22+BA25+BA28+BA31+BA34+BA37+BA40+BA43</f>
        <v>4338655808</v>
      </c>
      <c r="BB46" s="29">
        <f>BB7+BB10+BB13+BB16+BB19+BB22+BB25+BB28+BB31+BB34+BB37+BB40+BB43</f>
        <v>4052406586</v>
      </c>
      <c r="BC46" s="18">
        <f t="shared" si="288"/>
        <v>-6.5976476279171141</v>
      </c>
      <c r="BD46" s="29">
        <f>BD7+BD10+BD13+BD16+BD19+BD22+BD25+BD28+BD31+BD34+BD37+BD40+BD43</f>
        <v>520186607</v>
      </c>
      <c r="BE46" s="29">
        <f>BE7+BE10+BE13+BE16+BE19+BE22+BE25+BE28+BE31+BE34+BE37+BE40+BE43</f>
        <v>636849193</v>
      </c>
      <c r="BF46" s="18">
        <f t="shared" si="289"/>
        <v>22.427064524558205</v>
      </c>
      <c r="BG46" s="29">
        <f>BG7+BG10+BG13+BG16+BG19+BG22+BG25+BG28+BG31+BG34+BG37+BG40+BG43</f>
        <v>4858842415</v>
      </c>
      <c r="BH46" s="29">
        <f>BH7+BH10+BH13+BH16+BH19+BH22+BH25+BH28+BH31+BH34+BH37+BH40+BH43</f>
        <v>4689255779</v>
      </c>
      <c r="BI46" s="18">
        <f t="shared" si="290"/>
        <v>-3.4902682885219694</v>
      </c>
      <c r="BJ46" s="29">
        <f>BJ7+BJ10+BJ13+BJ16+BJ19+BJ22+BJ25+BJ28+BJ31+BJ34+BJ37+BJ40+BJ43</f>
        <v>582997546</v>
      </c>
      <c r="BK46" s="29">
        <f>BK7+BK10+BK13+BK16+BK19+BK22+BK25+BK28+BK31+BK34+BK37+BK40+BK43</f>
        <v>567322687</v>
      </c>
      <c r="BL46" s="18">
        <f t="shared" si="291"/>
        <v>-2.6886663773366903</v>
      </c>
      <c r="BM46" s="29">
        <f>BM7+BM10+BM13+BM16+BM19+BM22+BM25+BM28+BM31+BM34+BM37+BM40+BM43</f>
        <v>5441839961</v>
      </c>
      <c r="BN46" s="29">
        <f>BN7+BN10+BN13+BN16+BN19+BN22+BN25+BN28+BN31+BN34+BN37+BN40+BN43</f>
        <v>5256578466</v>
      </c>
      <c r="BO46" s="18">
        <f t="shared" si="292"/>
        <v>-3.4043907268077045</v>
      </c>
      <c r="BP46" s="29">
        <f>BP7+BP10+BP13+BP16+BP19+BP22+BP25+BP28+BP31+BP34+BP37+BP40+BP43</f>
        <v>438316925</v>
      </c>
      <c r="BQ46" s="29">
        <f>BQ7+BQ10+BQ13+BQ16+BQ19+BQ22+BQ25+BQ28+BQ31+BQ34+BQ37+BQ40+BQ43</f>
        <v>473079105</v>
      </c>
      <c r="BR46" s="18">
        <f t="shared" si="293"/>
        <v>7.9308322397087405</v>
      </c>
      <c r="BS46" s="29">
        <f>BS7+BS10+BS13+BS16+BS19+BS22+BS25+BS28+BS31+BS34+BS37+BS40+BS43</f>
        <v>5880156886</v>
      </c>
      <c r="BT46" s="29">
        <f>BT7+BT10+BT13+BT16+BT19+BT22+BT25+BT28+BT31+BT34+BT37+BT40+BT43</f>
        <v>5729657571</v>
      </c>
      <c r="BU46" s="18">
        <f t="shared" si="294"/>
        <v>-2.5594438705933586</v>
      </c>
      <c r="BV46" s="29">
        <f>BV7+BV10+BV13+BV16+BV19+BV22+BV25+BV28+BV31+BV34+BV37+BV40+BV43</f>
        <v>523045088</v>
      </c>
      <c r="BW46" s="29">
        <f>BW7+BW10+BW13+BW16+BW19+BW22+BW25+BW28+BW31+BW34+BW37+BW40+BW43</f>
        <v>978679298</v>
      </c>
      <c r="BX46" s="18">
        <f t="shared" si="295"/>
        <v>87.111841876239922</v>
      </c>
      <c r="BY46" s="29">
        <f>BY7+BY10+BY13+BY16+BY19+BY22+BY25+BY28+BY31+BY34+BY37+BY40+BY43</f>
        <v>6403201974</v>
      </c>
      <c r="BZ46" s="29">
        <f>BZ7+BZ10+BZ13+BZ16+BZ19+BZ22+BZ25+BZ28+BZ31+BZ34+BZ37+BZ40+BZ43</f>
        <v>6708336869</v>
      </c>
      <c r="CA46" s="18">
        <f t="shared" si="296"/>
        <v>4.7653485902676707</v>
      </c>
    </row>
    <row r="47" spans="1:79" s="3" customFormat="1" ht="19.5" customHeight="1">
      <c r="A47" s="131"/>
      <c r="B47" s="132"/>
      <c r="C47" s="13" t="s">
        <v>51</v>
      </c>
      <c r="D47" s="30">
        <f t="shared" ref="D47:L47" si="297">D46/D45</f>
        <v>0.99912962002078509</v>
      </c>
      <c r="E47" s="30">
        <f t="shared" si="297"/>
        <v>1.3266996691961659</v>
      </c>
      <c r="F47" s="30">
        <f t="shared" si="297"/>
        <v>1.6673951471987354</v>
      </c>
      <c r="G47" s="30">
        <f t="shared" si="297"/>
        <v>1.4220387655803357</v>
      </c>
      <c r="H47" s="30">
        <f>H46/H45</f>
        <v>1.1392886928763315</v>
      </c>
      <c r="I47" s="31">
        <f>I46/I45</f>
        <v>1.1653520890894042</v>
      </c>
      <c r="J47" s="30">
        <f>J46/J45</f>
        <v>0.86340681560412025</v>
      </c>
      <c r="K47" s="30">
        <f t="shared" si="297"/>
        <v>1.0884754917122175</v>
      </c>
      <c r="L47" s="30">
        <f t="shared" si="297"/>
        <v>0.79093018474204235</v>
      </c>
      <c r="M47" s="31"/>
      <c r="N47" s="30">
        <f>N46/N45</f>
        <v>1.0245430029372338</v>
      </c>
      <c r="O47" s="30">
        <f>O46/O45</f>
        <v>0.84659567422170656</v>
      </c>
      <c r="P47" s="31"/>
      <c r="Q47" s="30">
        <f>Q46/Q45</f>
        <v>1.060094910254082</v>
      </c>
      <c r="R47" s="30">
        <f>R46/R45</f>
        <v>0.81940845041089816</v>
      </c>
      <c r="S47" s="31"/>
      <c r="T47" s="30">
        <f>T46/T45</f>
        <v>1.0620862346534576</v>
      </c>
      <c r="U47" s="30">
        <f>U46/U45</f>
        <v>0.73857050248338441</v>
      </c>
      <c r="V47" s="31"/>
      <c r="W47" s="30">
        <f>W46/W45</f>
        <v>1.0607055258887637</v>
      </c>
      <c r="X47" s="30">
        <f>X46/X45</f>
        <v>0.78922092084630968</v>
      </c>
      <c r="Y47" s="31"/>
      <c r="Z47" s="30">
        <f>Z46/Z45</f>
        <v>0.79843866316949508</v>
      </c>
      <c r="AA47" s="30">
        <f>AA46/AA45</f>
        <v>0.89404830799858082</v>
      </c>
      <c r="AB47" s="31"/>
      <c r="AC47" s="30">
        <f>AC46/AC45</f>
        <v>0.97879828426862725</v>
      </c>
      <c r="AD47" s="30">
        <f>AD46/AD45</f>
        <v>0.81470683769037988</v>
      </c>
      <c r="AE47" s="31"/>
      <c r="AF47" s="30">
        <f>AF46/AF45</f>
        <v>1.048574717458107</v>
      </c>
      <c r="AG47" s="30">
        <f>AG46/AG45</f>
        <v>0.69818158367146788</v>
      </c>
      <c r="AH47" s="31"/>
      <c r="AI47" s="30">
        <f>AI46/AI45</f>
        <v>0.99516427538464269</v>
      </c>
      <c r="AJ47" s="30">
        <f>AJ46/AJ45</f>
        <v>0.78975409720067358</v>
      </c>
      <c r="AK47" s="31"/>
      <c r="AL47" s="30">
        <f>AL46/AL45</f>
        <v>1.0539023826297167</v>
      </c>
      <c r="AM47" s="30">
        <f>AM46/AM45</f>
        <v>0.74439564198826857</v>
      </c>
      <c r="AN47" s="31"/>
      <c r="AO47" s="30">
        <f>AO46/AO45</f>
        <v>1.0047193183670369</v>
      </c>
      <c r="AP47" s="30">
        <f>AP46/AP45</f>
        <v>0.78080256370603685</v>
      </c>
      <c r="AQ47" s="31"/>
      <c r="AR47" s="30">
        <f>AR46/AR45</f>
        <v>0.91353245768080138</v>
      </c>
      <c r="AS47" s="30">
        <f>AS46/AS45</f>
        <v>0.80847168981263895</v>
      </c>
      <c r="AT47" s="31"/>
      <c r="AU47" s="30">
        <f>AU46/AU45</f>
        <v>0.98895691287022125</v>
      </c>
      <c r="AV47" s="30">
        <f>AV46/AV45</f>
        <v>0.78580771839843178</v>
      </c>
      <c r="AW47" s="31"/>
      <c r="AX47" s="30">
        <f>AX46/AX45</f>
        <v>0.80144005843136834</v>
      </c>
      <c r="AY47" s="30">
        <f>AY46/AY45</f>
        <v>0.8341184900136196</v>
      </c>
      <c r="AZ47" s="31"/>
      <c r="BA47" s="30">
        <f>BA46/BA45</f>
        <v>0.96414619275917057</v>
      </c>
      <c r="BB47" s="30">
        <f>BB46/BB45</f>
        <v>0.79217771319364827</v>
      </c>
      <c r="BC47" s="31"/>
      <c r="BD47" s="30">
        <f>BD46/BD45</f>
        <v>0.74691886599301061</v>
      </c>
      <c r="BE47" s="30">
        <f>BE46/BE45</f>
        <v>0.9037338220638188</v>
      </c>
      <c r="BF47" s="31"/>
      <c r="BG47" s="30">
        <f>BG46/BG45</f>
        <v>0.93503270850108278</v>
      </c>
      <c r="BH47" s="30">
        <f>BH46/BH45</f>
        <v>0.805684451469173</v>
      </c>
      <c r="BI47" s="31"/>
      <c r="BJ47" s="30">
        <f>BJ46/BJ45</f>
        <v>1.0437962119219166</v>
      </c>
      <c r="BK47" s="30">
        <f>BK46/BK45</f>
        <v>0.75671291692107279</v>
      </c>
      <c r="BL47" s="31"/>
      <c r="BM47" s="30">
        <f>BM46/BM45</f>
        <v>0.94558849537028744</v>
      </c>
      <c r="BN47" s="30">
        <f>BN46/BN45</f>
        <v>0.80009612547594577</v>
      </c>
      <c r="BO47" s="31"/>
      <c r="BP47" s="30">
        <f>BP46/BP45</f>
        <v>0.56030371502018872</v>
      </c>
      <c r="BQ47" s="30">
        <f>BQ46/BQ45</f>
        <v>0.67864724862345793</v>
      </c>
      <c r="BR47" s="31"/>
      <c r="BS47" s="30">
        <f>BS46/BS45</f>
        <v>0.89948320742071564</v>
      </c>
      <c r="BT47" s="30">
        <f>BT46/BT45</f>
        <v>0.78844610942522064</v>
      </c>
      <c r="BU47" s="31"/>
      <c r="BV47" s="30">
        <f>BV46/BV45</f>
        <v>0.59508379057560412</v>
      </c>
      <c r="BW47" s="30">
        <f>BW46/BW45</f>
        <v>1.4675740049780228</v>
      </c>
      <c r="BX47" s="31"/>
      <c r="BY47" s="30">
        <f>BY46/BY45</f>
        <v>0.86340681560412025</v>
      </c>
      <c r="BZ47" s="30">
        <f>BZ46/BZ45</f>
        <v>0.84552895045658216</v>
      </c>
      <c r="CA47" s="31"/>
    </row>
    <row r="49" spans="8:10">
      <c r="H49" s="6"/>
      <c r="I49" s="6"/>
    </row>
    <row r="50" spans="8:10">
      <c r="H50" s="6"/>
      <c r="I50" s="6"/>
    </row>
    <row r="51" spans="8:10">
      <c r="H51" s="6"/>
      <c r="I51" s="94"/>
    </row>
    <row r="52" spans="8:10">
      <c r="I52" s="94"/>
    </row>
    <row r="53" spans="8:10">
      <c r="J53" s="6"/>
    </row>
    <row r="54" spans="8:10">
      <c r="I54" s="95"/>
      <c r="J54" s="6"/>
    </row>
    <row r="55" spans="8:10">
      <c r="I55" s="95"/>
    </row>
  </sheetData>
  <mergeCells count="60">
    <mergeCell ref="BV4:BX4"/>
    <mergeCell ref="BY4:CA4"/>
    <mergeCell ref="BP4:BR4"/>
    <mergeCell ref="BS4:BU4"/>
    <mergeCell ref="BJ4:BL4"/>
    <mergeCell ref="BM4:BO4"/>
    <mergeCell ref="A1:C2"/>
    <mergeCell ref="B3:C3"/>
    <mergeCell ref="A4:C5"/>
    <mergeCell ref="T4:V4"/>
    <mergeCell ref="W4:Y4"/>
    <mergeCell ref="Q4:S4"/>
    <mergeCell ref="N4:P4"/>
    <mergeCell ref="K4:M4"/>
    <mergeCell ref="J4:J5"/>
    <mergeCell ref="D4:D5"/>
    <mergeCell ref="E4:E5"/>
    <mergeCell ref="F4:F5"/>
    <mergeCell ref="G4:G5"/>
    <mergeCell ref="I4:I5"/>
    <mergeCell ref="H4:H5"/>
    <mergeCell ref="A6:A8"/>
    <mergeCell ref="B6:B8"/>
    <mergeCell ref="A45:B47"/>
    <mergeCell ref="A36:A38"/>
    <mergeCell ref="B36:B38"/>
    <mergeCell ref="A39:A41"/>
    <mergeCell ref="B39:B41"/>
    <mergeCell ref="A42:A44"/>
    <mergeCell ref="B42:B44"/>
    <mergeCell ref="A15:A17"/>
    <mergeCell ref="B15:B17"/>
    <mergeCell ref="A12:A14"/>
    <mergeCell ref="B12:B14"/>
    <mergeCell ref="A9:A11"/>
    <mergeCell ref="B9:B11"/>
    <mergeCell ref="A33:A35"/>
    <mergeCell ref="B33:B35"/>
    <mergeCell ref="A18:A20"/>
    <mergeCell ref="B18:B20"/>
    <mergeCell ref="A21:A23"/>
    <mergeCell ref="B21:B23"/>
    <mergeCell ref="A24:A26"/>
    <mergeCell ref="A30:A32"/>
    <mergeCell ref="B30:B32"/>
    <mergeCell ref="A27:A29"/>
    <mergeCell ref="B27:B29"/>
    <mergeCell ref="B24:B26"/>
    <mergeCell ref="BD4:BF4"/>
    <mergeCell ref="BG4:BI4"/>
    <mergeCell ref="AF4:AH4"/>
    <mergeCell ref="AI4:AK4"/>
    <mergeCell ref="Z4:AB4"/>
    <mergeCell ref="AC4:AE4"/>
    <mergeCell ref="AX4:AZ4"/>
    <mergeCell ref="BA4:BC4"/>
    <mergeCell ref="AR4:AT4"/>
    <mergeCell ref="AU4:AW4"/>
    <mergeCell ref="AL4:AN4"/>
    <mergeCell ref="AO4:AQ4"/>
  </mergeCells>
  <phoneticPr fontId="6" type="noConversion"/>
  <printOptions horizontalCentered="1"/>
  <pageMargins left="0.31496062992125984" right="0.31496062992125984" top="0.59055118110236227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86"/>
  <sheetViews>
    <sheetView zoomScaleNormal="100" workbookViewId="0">
      <pane xSplit="3" ySplit="5" topLeftCell="J6" activePane="bottomRight" state="frozen"/>
      <selection pane="topRight" activeCell="E1" sqref="E1"/>
      <selection pane="bottomLeft" activeCell="A6" sqref="A6"/>
      <selection pane="bottomRight" sqref="A1:C2"/>
    </sheetView>
  </sheetViews>
  <sheetFormatPr defaultRowHeight="16.5"/>
  <cols>
    <col min="1" max="3" width="10.625" customWidth="1"/>
    <col min="4" max="9" width="13.625" hidden="1" customWidth="1"/>
    <col min="10" max="10" width="13.625" customWidth="1"/>
    <col min="11" max="12" width="13.625" hidden="1" customWidth="1"/>
    <col min="13" max="13" width="9.625" hidden="1" customWidth="1"/>
    <col min="14" max="15" width="13.625" hidden="1" customWidth="1"/>
    <col min="16" max="16" width="9.625" hidden="1" customWidth="1"/>
    <col min="17" max="18" width="13.625" hidden="1" customWidth="1"/>
    <col min="19" max="19" width="9.625" hidden="1" customWidth="1"/>
    <col min="20" max="21" width="13.625" hidden="1" customWidth="1"/>
    <col min="22" max="22" width="9.625" hidden="1" customWidth="1"/>
    <col min="23" max="24" width="13.625" hidden="1" customWidth="1"/>
    <col min="25" max="25" width="9.625" hidden="1" customWidth="1"/>
    <col min="26" max="27" width="13.625" hidden="1" customWidth="1"/>
    <col min="28" max="28" width="9.625" hidden="1" customWidth="1"/>
    <col min="29" max="30" width="13.625" hidden="1" customWidth="1"/>
    <col min="31" max="31" width="9.625" hidden="1" customWidth="1"/>
    <col min="32" max="33" width="13.625" hidden="1" customWidth="1"/>
    <col min="34" max="34" width="9.625" hidden="1" customWidth="1"/>
    <col min="35" max="36" width="13.625" hidden="1" customWidth="1"/>
    <col min="37" max="37" width="9.625" hidden="1" customWidth="1"/>
    <col min="38" max="39" width="13.625" hidden="1" customWidth="1"/>
    <col min="40" max="40" width="9.625" hidden="1" customWidth="1"/>
    <col min="41" max="42" width="13.625" hidden="1" customWidth="1"/>
    <col min="43" max="43" width="9.625" hidden="1" customWidth="1"/>
    <col min="44" max="45" width="13.625" hidden="1" customWidth="1"/>
    <col min="46" max="46" width="9.625" hidden="1" customWidth="1"/>
    <col min="47" max="48" width="13.625" hidden="1" customWidth="1"/>
    <col min="49" max="49" width="9.625" hidden="1" customWidth="1"/>
    <col min="50" max="51" width="13.625" hidden="1" customWidth="1"/>
    <col min="52" max="52" width="9.625" hidden="1" customWidth="1"/>
    <col min="53" max="54" width="13.625" hidden="1" customWidth="1"/>
    <col min="55" max="55" width="9.625" hidden="1" customWidth="1"/>
    <col min="56" max="57" width="13.625" hidden="1" customWidth="1"/>
    <col min="58" max="58" width="9.625" hidden="1" customWidth="1"/>
    <col min="59" max="60" width="13.625" hidden="1" customWidth="1"/>
    <col min="61" max="61" width="9.625" hidden="1" customWidth="1"/>
    <col min="62" max="63" width="13.625" hidden="1" customWidth="1"/>
    <col min="64" max="64" width="9.625" hidden="1" customWidth="1"/>
    <col min="65" max="66" width="13.625" hidden="1" customWidth="1"/>
    <col min="67" max="67" width="9.625" hidden="1" customWidth="1"/>
    <col min="68" max="69" width="13.625" hidden="1" customWidth="1"/>
    <col min="70" max="70" width="9.625" hidden="1" customWidth="1"/>
    <col min="71" max="72" width="13.625" hidden="1" customWidth="1"/>
    <col min="73" max="73" width="9.625" hidden="1" customWidth="1"/>
    <col min="74" max="75" width="13.625" customWidth="1"/>
    <col min="76" max="76" width="9.625" customWidth="1"/>
    <col min="77" max="78" width="13.625" customWidth="1"/>
    <col min="79" max="79" width="9.625" customWidth="1"/>
  </cols>
  <sheetData>
    <row r="1" spans="1:80">
      <c r="A1" s="138" t="s">
        <v>46</v>
      </c>
      <c r="B1" s="139"/>
      <c r="C1" s="140"/>
    </row>
    <row r="2" spans="1:80" ht="17.25" thickBot="1">
      <c r="A2" s="141"/>
      <c r="B2" s="142"/>
      <c r="C2" s="143"/>
    </row>
    <row r="3" spans="1:80">
      <c r="B3" s="144" t="s">
        <v>24</v>
      </c>
      <c r="C3" s="144"/>
    </row>
    <row r="4" spans="1:80" s="3" customFormat="1">
      <c r="A4" s="145"/>
      <c r="B4" s="146"/>
      <c r="C4" s="147"/>
      <c r="D4" s="112" t="s">
        <v>0</v>
      </c>
      <c r="E4" s="112" t="s">
        <v>1</v>
      </c>
      <c r="F4" s="112" t="s">
        <v>55</v>
      </c>
      <c r="G4" s="112" t="s">
        <v>56</v>
      </c>
      <c r="H4" s="112" t="s">
        <v>39</v>
      </c>
      <c r="I4" s="112" t="s">
        <v>41</v>
      </c>
      <c r="J4" s="112" t="s">
        <v>43</v>
      </c>
      <c r="K4" s="110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186</v>
      </c>
      <c r="U4" s="110"/>
      <c r="V4" s="111"/>
      <c r="W4" s="109" t="s">
        <v>187</v>
      </c>
      <c r="X4" s="110"/>
      <c r="Y4" s="111"/>
      <c r="Z4" s="109" t="s">
        <v>192</v>
      </c>
      <c r="AA4" s="110"/>
      <c r="AB4" s="111"/>
      <c r="AC4" s="109" t="s">
        <v>193</v>
      </c>
      <c r="AD4" s="110"/>
      <c r="AE4" s="111"/>
      <c r="AF4" s="109" t="s">
        <v>196</v>
      </c>
      <c r="AG4" s="110"/>
      <c r="AH4" s="111"/>
      <c r="AI4" s="109" t="s">
        <v>197</v>
      </c>
      <c r="AJ4" s="110"/>
      <c r="AK4" s="111"/>
      <c r="AL4" s="109" t="s">
        <v>200</v>
      </c>
      <c r="AM4" s="110"/>
      <c r="AN4" s="111"/>
      <c r="AO4" s="109" t="s">
        <v>201</v>
      </c>
      <c r="AP4" s="110"/>
      <c r="AQ4" s="111"/>
      <c r="AR4" s="109" t="s">
        <v>204</v>
      </c>
      <c r="AS4" s="110"/>
      <c r="AT4" s="111"/>
      <c r="AU4" s="109" t="s">
        <v>205</v>
      </c>
      <c r="AV4" s="110"/>
      <c r="AW4" s="111"/>
      <c r="AX4" s="109" t="s">
        <v>208</v>
      </c>
      <c r="AY4" s="110"/>
      <c r="AZ4" s="111"/>
      <c r="BA4" s="109" t="s">
        <v>209</v>
      </c>
      <c r="BB4" s="110"/>
      <c r="BC4" s="111"/>
      <c r="BD4" s="109" t="s">
        <v>213</v>
      </c>
      <c r="BE4" s="110"/>
      <c r="BF4" s="111"/>
      <c r="BG4" s="109" t="s">
        <v>214</v>
      </c>
      <c r="BH4" s="110"/>
      <c r="BI4" s="111"/>
      <c r="BJ4" s="109" t="s">
        <v>217</v>
      </c>
      <c r="BK4" s="110"/>
      <c r="BL4" s="111"/>
      <c r="BM4" s="109" t="s">
        <v>218</v>
      </c>
      <c r="BN4" s="110"/>
      <c r="BO4" s="111"/>
      <c r="BP4" s="109" t="s">
        <v>221</v>
      </c>
      <c r="BQ4" s="110"/>
      <c r="BR4" s="111"/>
      <c r="BS4" s="109" t="s">
        <v>222</v>
      </c>
      <c r="BT4" s="110"/>
      <c r="BU4" s="111"/>
      <c r="BV4" s="109" t="s">
        <v>227</v>
      </c>
      <c r="BW4" s="110"/>
      <c r="BX4" s="111"/>
      <c r="BY4" s="109" t="s">
        <v>228</v>
      </c>
      <c r="BZ4" s="110"/>
      <c r="CA4" s="111"/>
    </row>
    <row r="5" spans="1:80" s="3" customFormat="1" ht="17.25" thickBot="1">
      <c r="A5" s="148"/>
      <c r="B5" s="149"/>
      <c r="C5" s="150"/>
      <c r="D5" s="113"/>
      <c r="E5" s="113"/>
      <c r="F5" s="113"/>
      <c r="G5" s="113"/>
      <c r="H5" s="113"/>
      <c r="I5" s="113"/>
      <c r="J5" s="113"/>
      <c r="K5" s="36" t="s">
        <v>181</v>
      </c>
      <c r="L5" s="36" t="s">
        <v>182</v>
      </c>
      <c r="M5" s="36" t="s">
        <v>5</v>
      </c>
      <c r="N5" s="36" t="s">
        <v>181</v>
      </c>
      <c r="O5" s="36" t="s">
        <v>182</v>
      </c>
      <c r="P5" s="36" t="s">
        <v>5</v>
      </c>
      <c r="Q5" s="36" t="s">
        <v>181</v>
      </c>
      <c r="R5" s="36" t="s">
        <v>182</v>
      </c>
      <c r="S5" s="36" t="s">
        <v>5</v>
      </c>
      <c r="T5" s="36" t="s">
        <v>181</v>
      </c>
      <c r="U5" s="36" t="s">
        <v>182</v>
      </c>
      <c r="V5" s="36" t="s">
        <v>5</v>
      </c>
      <c r="W5" s="36" t="s">
        <v>181</v>
      </c>
      <c r="X5" s="36" t="s">
        <v>182</v>
      </c>
      <c r="Y5" s="36" t="s">
        <v>5</v>
      </c>
      <c r="Z5" s="36" t="s">
        <v>181</v>
      </c>
      <c r="AA5" s="36" t="s">
        <v>182</v>
      </c>
      <c r="AB5" s="36" t="s">
        <v>5</v>
      </c>
      <c r="AC5" s="36" t="s">
        <v>181</v>
      </c>
      <c r="AD5" s="36" t="s">
        <v>182</v>
      </c>
      <c r="AE5" s="36" t="s">
        <v>5</v>
      </c>
      <c r="AF5" s="36" t="s">
        <v>54</v>
      </c>
      <c r="AG5" s="36" t="s">
        <v>182</v>
      </c>
      <c r="AH5" s="36" t="s">
        <v>5</v>
      </c>
      <c r="AI5" s="36" t="s">
        <v>54</v>
      </c>
      <c r="AJ5" s="36" t="s">
        <v>182</v>
      </c>
      <c r="AK5" s="36" t="s">
        <v>5</v>
      </c>
      <c r="AL5" s="36" t="s">
        <v>54</v>
      </c>
      <c r="AM5" s="36" t="s">
        <v>182</v>
      </c>
      <c r="AN5" s="36" t="s">
        <v>5</v>
      </c>
      <c r="AO5" s="36" t="s">
        <v>54</v>
      </c>
      <c r="AP5" s="36" t="s">
        <v>182</v>
      </c>
      <c r="AQ5" s="36" t="s">
        <v>5</v>
      </c>
      <c r="AR5" s="36" t="s">
        <v>54</v>
      </c>
      <c r="AS5" s="36" t="s">
        <v>182</v>
      </c>
      <c r="AT5" s="36" t="s">
        <v>5</v>
      </c>
      <c r="AU5" s="36" t="s">
        <v>54</v>
      </c>
      <c r="AV5" s="36" t="s">
        <v>182</v>
      </c>
      <c r="AW5" s="36" t="s">
        <v>5</v>
      </c>
      <c r="AX5" s="36" t="s">
        <v>54</v>
      </c>
      <c r="AY5" s="36" t="s">
        <v>182</v>
      </c>
      <c r="AZ5" s="36" t="s">
        <v>5</v>
      </c>
      <c r="BA5" s="36" t="s">
        <v>54</v>
      </c>
      <c r="BB5" s="36" t="s">
        <v>182</v>
      </c>
      <c r="BC5" s="36" t="s">
        <v>5</v>
      </c>
      <c r="BD5" s="36" t="s">
        <v>54</v>
      </c>
      <c r="BE5" s="36" t="s">
        <v>182</v>
      </c>
      <c r="BF5" s="36" t="s">
        <v>5</v>
      </c>
      <c r="BG5" s="36" t="s">
        <v>54</v>
      </c>
      <c r="BH5" s="36" t="s">
        <v>182</v>
      </c>
      <c r="BI5" s="36" t="s">
        <v>5</v>
      </c>
      <c r="BJ5" s="36" t="s">
        <v>54</v>
      </c>
      <c r="BK5" s="36" t="s">
        <v>182</v>
      </c>
      <c r="BL5" s="36" t="s">
        <v>5</v>
      </c>
      <c r="BM5" s="36" t="s">
        <v>54</v>
      </c>
      <c r="BN5" s="36" t="s">
        <v>182</v>
      </c>
      <c r="BO5" s="36" t="s">
        <v>5</v>
      </c>
      <c r="BP5" s="36" t="s">
        <v>54</v>
      </c>
      <c r="BQ5" s="36" t="s">
        <v>182</v>
      </c>
      <c r="BR5" s="36" t="s">
        <v>5</v>
      </c>
      <c r="BS5" s="36" t="s">
        <v>54</v>
      </c>
      <c r="BT5" s="36" t="s">
        <v>182</v>
      </c>
      <c r="BU5" s="36" t="s">
        <v>5</v>
      </c>
      <c r="BV5" s="36" t="s">
        <v>54</v>
      </c>
      <c r="BW5" s="36" t="s">
        <v>182</v>
      </c>
      <c r="BX5" s="36" t="s">
        <v>5</v>
      </c>
      <c r="BY5" s="36" t="s">
        <v>54</v>
      </c>
      <c r="BZ5" s="36" t="s">
        <v>182</v>
      </c>
      <c r="CA5" s="36" t="s">
        <v>5</v>
      </c>
    </row>
    <row r="6" spans="1:80" ht="19.5" customHeight="1">
      <c r="A6" s="152" t="s">
        <v>81</v>
      </c>
      <c r="B6" s="125" t="s">
        <v>25</v>
      </c>
      <c r="C6" s="32" t="s">
        <v>42</v>
      </c>
      <c r="D6" s="14">
        <v>185</v>
      </c>
      <c r="E6" s="14">
        <v>8311</v>
      </c>
      <c r="F6" s="14">
        <v>171318</v>
      </c>
      <c r="G6" s="14">
        <v>12649</v>
      </c>
      <c r="H6" s="14">
        <v>19069</v>
      </c>
      <c r="I6" s="14">
        <v>18145</v>
      </c>
      <c r="J6" s="14">
        <v>109368</v>
      </c>
      <c r="K6" s="14">
        <v>3500</v>
      </c>
      <c r="L6" s="14">
        <v>2640</v>
      </c>
      <c r="M6" s="43">
        <f t="shared" ref="M6:M69" si="0">(L6/K6-1)*100</f>
        <v>-24.571428571428566</v>
      </c>
      <c r="N6" s="16">
        <f>Q6-K6</f>
        <v>21808</v>
      </c>
      <c r="O6" s="14">
        <f>R6-L6</f>
        <v>10</v>
      </c>
      <c r="P6" s="15">
        <f t="shared" ref="P6:P69" si="1">(O6/N6-1)*100</f>
        <v>-99.954145267791645</v>
      </c>
      <c r="Q6" s="14">
        <v>25308</v>
      </c>
      <c r="R6" s="14">
        <v>2650</v>
      </c>
      <c r="S6" s="15">
        <f t="shared" ref="S6:S69" si="2">(R6/Q6-1)*100</f>
        <v>-89.529002686897428</v>
      </c>
      <c r="T6" s="16">
        <f>W6-Q6</f>
        <v>40660</v>
      </c>
      <c r="U6" s="14">
        <f>X6-R6</f>
        <v>3</v>
      </c>
      <c r="V6" s="15">
        <f t="shared" ref="V6:V7" si="3">(U6/T6-1)*100</f>
        <v>-99.992621741269062</v>
      </c>
      <c r="W6" s="14">
        <v>65968</v>
      </c>
      <c r="X6" s="14">
        <v>2653</v>
      </c>
      <c r="Y6" s="15">
        <f t="shared" ref="Y6:Y7" si="4">(X6/W6-1)*100</f>
        <v>-95.978353140916809</v>
      </c>
      <c r="Z6" s="16">
        <f>AC6-W6</f>
        <v>31000</v>
      </c>
      <c r="AA6" s="14">
        <f>AD6-X6</f>
        <v>1764</v>
      </c>
      <c r="AB6" s="15">
        <f t="shared" ref="AB6:AB7" si="5">(AA6/Z6-1)*100</f>
        <v>-94.309677419354841</v>
      </c>
      <c r="AC6" s="14">
        <v>96968</v>
      </c>
      <c r="AD6" s="14">
        <v>4417</v>
      </c>
      <c r="AE6" s="15">
        <f t="shared" ref="AE6:AE7" si="6">(AD6/AC6-1)*100</f>
        <v>-95.44488903555812</v>
      </c>
      <c r="AF6" s="16">
        <f>AI6-AC6</f>
        <v>3640</v>
      </c>
      <c r="AG6" s="14">
        <f>AJ6-AD6</f>
        <v>2651</v>
      </c>
      <c r="AH6" s="15">
        <f t="shared" ref="AH6:AH7" si="7">(AG6/AF6-1)*100</f>
        <v>-27.170329670329675</v>
      </c>
      <c r="AI6" s="14">
        <v>100608</v>
      </c>
      <c r="AJ6" s="14">
        <v>7068</v>
      </c>
      <c r="AK6" s="15">
        <f t="shared" ref="AK6:AK7" si="8">(AJ6/AI6-1)*100</f>
        <v>-92.974713740458014</v>
      </c>
      <c r="AL6" s="16">
        <f>AO6-AI6</f>
        <v>1</v>
      </c>
      <c r="AM6" s="14">
        <f>AP6-AJ6</f>
        <v>250</v>
      </c>
      <c r="AN6" s="15">
        <f t="shared" ref="AN6:AN7" si="9">(AM6/AL6-1)*100</f>
        <v>24900</v>
      </c>
      <c r="AO6" s="14">
        <v>100609</v>
      </c>
      <c r="AP6" s="14">
        <v>7318</v>
      </c>
      <c r="AQ6" s="15">
        <f t="shared" ref="AQ6:AQ7" si="10">(AP6/AO6-1)*100</f>
        <v>-92.726296852170293</v>
      </c>
      <c r="AR6" s="16">
        <f>AU6-AO6</f>
        <v>2645</v>
      </c>
      <c r="AS6" s="14">
        <f>AV6-AP6</f>
        <v>2643</v>
      </c>
      <c r="AT6" s="15">
        <f t="shared" ref="AT6:AT7" si="11">(AS6/AR6-1)*100</f>
        <v>-7.5614366729681581E-2</v>
      </c>
      <c r="AU6" s="14">
        <v>103254</v>
      </c>
      <c r="AV6" s="14">
        <v>9961</v>
      </c>
      <c r="AW6" s="15">
        <f t="shared" ref="AW6:AW7" si="12">(AV6/AU6-1)*100</f>
        <v>-90.352916109787515</v>
      </c>
      <c r="AX6" s="16">
        <f>BA6-AU6</f>
        <v>0</v>
      </c>
      <c r="AY6" s="14">
        <f>BB6-AV6</f>
        <v>0</v>
      </c>
      <c r="AZ6" s="15" t="e">
        <f t="shared" ref="AZ6:AZ7" si="13">(AY6/AX6-1)*100</f>
        <v>#DIV/0!</v>
      </c>
      <c r="BA6" s="14">
        <v>103254</v>
      </c>
      <c r="BB6" s="14">
        <v>9961</v>
      </c>
      <c r="BC6" s="15">
        <f t="shared" ref="BC6:BC7" si="14">(BB6/BA6-1)*100</f>
        <v>-90.352916109787515</v>
      </c>
      <c r="BD6" s="16">
        <f>BG6-BA6</f>
        <v>1772</v>
      </c>
      <c r="BE6" s="14">
        <f>BH6-BB6</f>
        <v>1766</v>
      </c>
      <c r="BF6" s="15">
        <f t="shared" ref="BF6:BF7" si="15">(BE6/BD6-1)*100</f>
        <v>-0.33860045146726359</v>
      </c>
      <c r="BG6" s="14">
        <v>105026</v>
      </c>
      <c r="BH6" s="14">
        <v>11727</v>
      </c>
      <c r="BI6" s="15">
        <f t="shared" ref="BI6:BI7" si="16">(BH6/BG6-1)*100</f>
        <v>-88.834193437815401</v>
      </c>
      <c r="BJ6" s="16">
        <f>BM6-BG6</f>
        <v>1540</v>
      </c>
      <c r="BK6" s="14">
        <f>BN6-BH6</f>
        <v>20</v>
      </c>
      <c r="BL6" s="15">
        <f t="shared" ref="BL6:BL7" si="17">(BK6/BJ6-1)*100</f>
        <v>-98.701298701298697</v>
      </c>
      <c r="BM6" s="14">
        <v>106566</v>
      </c>
      <c r="BN6" s="14">
        <v>11747</v>
      </c>
      <c r="BO6" s="15">
        <f t="shared" ref="BO6:BO7" si="18">(BN6/BM6-1)*100</f>
        <v>-88.976784340221087</v>
      </c>
      <c r="BP6" s="16">
        <f>BS6-BM6</f>
        <v>2640</v>
      </c>
      <c r="BQ6" s="14">
        <f>BT6-BN6</f>
        <v>2930</v>
      </c>
      <c r="BR6" s="15">
        <f t="shared" ref="BR6:BR7" si="19">(BQ6/BP6-1)*100</f>
        <v>10.984848484848486</v>
      </c>
      <c r="BS6" s="14">
        <v>109206</v>
      </c>
      <c r="BT6" s="14">
        <v>14677</v>
      </c>
      <c r="BU6" s="15">
        <f t="shared" ref="BU6:BU7" si="20">(BT6/BS6-1)*100</f>
        <v>-86.560262256652564</v>
      </c>
      <c r="BV6" s="16">
        <f>BY6-BS6</f>
        <v>162</v>
      </c>
      <c r="BW6" s="14">
        <f>BZ6-BT6</f>
        <v>1760</v>
      </c>
      <c r="BX6" s="15">
        <f t="shared" ref="BX6:BX7" si="21">(BW6/BV6-1)*100</f>
        <v>986.41975308641975</v>
      </c>
      <c r="BY6" s="14">
        <v>109368</v>
      </c>
      <c r="BZ6" s="14">
        <v>16437</v>
      </c>
      <c r="CA6" s="15">
        <f t="shared" ref="CA6:CA7" si="22">(BZ6/BY6-1)*100</f>
        <v>-84.970923853412344</v>
      </c>
      <c r="CB6" s="6"/>
    </row>
    <row r="7" spans="1:80" ht="19.5" customHeight="1">
      <c r="A7" s="152"/>
      <c r="B7" s="125"/>
      <c r="C7" s="33" t="s">
        <v>104</v>
      </c>
      <c r="D7" s="17">
        <v>57419</v>
      </c>
      <c r="E7" s="17">
        <v>232113</v>
      </c>
      <c r="F7" s="17">
        <v>6270024</v>
      </c>
      <c r="G7" s="17">
        <v>232849</v>
      </c>
      <c r="H7" s="17">
        <v>176199</v>
      </c>
      <c r="I7" s="17">
        <v>497534</v>
      </c>
      <c r="J7" s="17">
        <v>3354472</v>
      </c>
      <c r="K7" s="17">
        <v>188191</v>
      </c>
      <c r="L7" s="17">
        <v>10000</v>
      </c>
      <c r="M7" s="44">
        <f t="shared" si="0"/>
        <v>-94.686249608110913</v>
      </c>
      <c r="N7" s="14">
        <f>Q7-K7</f>
        <v>881603</v>
      </c>
      <c r="O7" s="14">
        <f>R7-L7</f>
        <v>10206</v>
      </c>
      <c r="P7" s="18">
        <f t="shared" si="1"/>
        <v>-98.842336062831009</v>
      </c>
      <c r="Q7" s="17">
        <v>1069794</v>
      </c>
      <c r="R7" s="17">
        <v>20206</v>
      </c>
      <c r="S7" s="18">
        <f t="shared" si="2"/>
        <v>-98.111225151758191</v>
      </c>
      <c r="T7" s="14">
        <f>W7-Q7</f>
        <v>1243444</v>
      </c>
      <c r="U7" s="14">
        <f>X7-R7</f>
        <v>7643</v>
      </c>
      <c r="V7" s="18">
        <f t="shared" si="3"/>
        <v>-99.385336211361349</v>
      </c>
      <c r="W7" s="17">
        <v>2313238</v>
      </c>
      <c r="X7" s="17">
        <v>27849</v>
      </c>
      <c r="Y7" s="18">
        <f t="shared" si="4"/>
        <v>-98.796103124710896</v>
      </c>
      <c r="Z7" s="14">
        <f>AC7-W7</f>
        <v>874501</v>
      </c>
      <c r="AA7" s="14">
        <f>AD7-X7</f>
        <v>19537</v>
      </c>
      <c r="AB7" s="18">
        <f t="shared" si="5"/>
        <v>-97.76592593947862</v>
      </c>
      <c r="AC7" s="17">
        <v>3187739</v>
      </c>
      <c r="AD7" s="17">
        <v>47386</v>
      </c>
      <c r="AE7" s="18">
        <f t="shared" si="6"/>
        <v>-98.513491851120804</v>
      </c>
      <c r="AF7" s="14">
        <f>AI7-AC7</f>
        <v>41243</v>
      </c>
      <c r="AG7" s="14">
        <f>AJ7-AD7</f>
        <v>23682</v>
      </c>
      <c r="AH7" s="18">
        <f t="shared" si="7"/>
        <v>-42.579346798244558</v>
      </c>
      <c r="AI7" s="17">
        <v>3228982</v>
      </c>
      <c r="AJ7" s="17">
        <v>71068</v>
      </c>
      <c r="AK7" s="18">
        <f t="shared" si="8"/>
        <v>-97.799058650683094</v>
      </c>
      <c r="AL7" s="14">
        <f>AO7-AI7</f>
        <v>170</v>
      </c>
      <c r="AM7" s="14">
        <f>AP7-AJ7</f>
        <v>10442</v>
      </c>
      <c r="AN7" s="18">
        <f t="shared" si="9"/>
        <v>6042.3529411764703</v>
      </c>
      <c r="AO7" s="17">
        <v>3229152</v>
      </c>
      <c r="AP7" s="17">
        <v>81510</v>
      </c>
      <c r="AQ7" s="18">
        <f t="shared" si="10"/>
        <v>-97.475807890121004</v>
      </c>
      <c r="AR7" s="14">
        <f>AU7-AO7</f>
        <v>19295</v>
      </c>
      <c r="AS7" s="14">
        <f>AV7-AP7</f>
        <v>27118</v>
      </c>
      <c r="AT7" s="18">
        <f t="shared" si="11"/>
        <v>40.544182430681516</v>
      </c>
      <c r="AU7" s="17">
        <v>3248447</v>
      </c>
      <c r="AV7" s="17">
        <v>108628</v>
      </c>
      <c r="AW7" s="18">
        <f t="shared" si="12"/>
        <v>-96.656002083457111</v>
      </c>
      <c r="AX7" s="14">
        <f>BA7-AU7</f>
        <v>291</v>
      </c>
      <c r="AY7" s="14">
        <f>BB7-AV7</f>
        <v>1635</v>
      </c>
      <c r="AZ7" s="18">
        <f t="shared" si="13"/>
        <v>461.85567010309273</v>
      </c>
      <c r="BA7" s="17">
        <v>3248738</v>
      </c>
      <c r="BB7" s="17">
        <v>110263</v>
      </c>
      <c r="BC7" s="18">
        <f t="shared" si="14"/>
        <v>-96.605974381436738</v>
      </c>
      <c r="BD7" s="14">
        <f>BG7-BA7</f>
        <v>19344</v>
      </c>
      <c r="BE7" s="14">
        <f>BH7-BB7</f>
        <v>12267</v>
      </c>
      <c r="BF7" s="18">
        <f t="shared" si="15"/>
        <v>-36.584987593052112</v>
      </c>
      <c r="BG7" s="17">
        <v>3268082</v>
      </c>
      <c r="BH7" s="17">
        <v>122530</v>
      </c>
      <c r="BI7" s="18">
        <f t="shared" si="16"/>
        <v>-96.250706071634667</v>
      </c>
      <c r="BJ7" s="14">
        <f>BM7-BG7</f>
        <v>237</v>
      </c>
      <c r="BK7" s="14">
        <f>BN7-BH7</f>
        <v>16800</v>
      </c>
      <c r="BL7" s="18">
        <f t="shared" si="17"/>
        <v>6988.6075949367087</v>
      </c>
      <c r="BM7" s="17">
        <v>3268319</v>
      </c>
      <c r="BN7" s="17">
        <v>139330</v>
      </c>
      <c r="BO7" s="18">
        <f t="shared" si="18"/>
        <v>-95.736952237526381</v>
      </c>
      <c r="BP7" s="14">
        <f>BS7-BM7</f>
        <v>10000</v>
      </c>
      <c r="BQ7" s="14">
        <f>BT7-BN7</f>
        <v>76129</v>
      </c>
      <c r="BR7" s="18">
        <f t="shared" si="19"/>
        <v>661.29</v>
      </c>
      <c r="BS7" s="17">
        <v>3278319</v>
      </c>
      <c r="BT7" s="17">
        <v>215459</v>
      </c>
      <c r="BU7" s="18">
        <f t="shared" si="20"/>
        <v>-93.427759775665521</v>
      </c>
      <c r="BV7" s="14">
        <f>BY7-BS7</f>
        <v>76153</v>
      </c>
      <c r="BW7" s="14">
        <f>BZ7-BT7</f>
        <v>11157</v>
      </c>
      <c r="BX7" s="18">
        <f t="shared" si="21"/>
        <v>-85.349231153073418</v>
      </c>
      <c r="BY7" s="17">
        <v>3354472</v>
      </c>
      <c r="BZ7" s="17">
        <v>226616</v>
      </c>
      <c r="CA7" s="18">
        <f t="shared" si="22"/>
        <v>-93.244361556751713</v>
      </c>
      <c r="CB7" s="6"/>
    </row>
    <row r="8" spans="1:80" ht="19.5" customHeight="1" thickBot="1">
      <c r="A8" s="153"/>
      <c r="B8" s="126"/>
      <c r="C8" s="34" t="s">
        <v>105</v>
      </c>
      <c r="D8" s="19">
        <f>D7/D6</f>
        <v>310.37297297297295</v>
      </c>
      <c r="E8" s="19">
        <f>E7/E6</f>
        <v>27.92840813379858</v>
      </c>
      <c r="F8" s="19">
        <f>F7/F6</f>
        <v>36.598746191293387</v>
      </c>
      <c r="G8" s="45"/>
      <c r="H8" s="20">
        <f>H7/H6</f>
        <v>9.2400755152341496</v>
      </c>
      <c r="I8" s="20">
        <f>I7/I6</f>
        <v>27.419895287958116</v>
      </c>
      <c r="J8" s="20">
        <f>J7/J6</f>
        <v>30.671421256674712</v>
      </c>
      <c r="K8" s="20">
        <f>K7/K6</f>
        <v>53.768857142857144</v>
      </c>
      <c r="L8" s="20">
        <f>L7/L6</f>
        <v>3.7878787878787881</v>
      </c>
      <c r="M8" s="46"/>
      <c r="N8" s="20">
        <f>N7/N6</f>
        <v>40.425669479090239</v>
      </c>
      <c r="O8" s="20">
        <f>O7/O6</f>
        <v>1020.6</v>
      </c>
      <c r="P8" s="47"/>
      <c r="Q8" s="20">
        <f>Q7/Q6</f>
        <v>42.270981507823613</v>
      </c>
      <c r="R8" s="20">
        <f>R7/R6</f>
        <v>7.6249056603773582</v>
      </c>
      <c r="S8" s="47"/>
      <c r="T8" s="20">
        <f>T7/T6</f>
        <v>30.581505164781113</v>
      </c>
      <c r="U8" s="20">
        <f>U7/U6</f>
        <v>2547.6666666666665</v>
      </c>
      <c r="V8" s="47"/>
      <c r="W8" s="20">
        <f>W7/W6</f>
        <v>35.066062333252489</v>
      </c>
      <c r="X8" s="20">
        <f>X7/X6</f>
        <v>10.497173011684884</v>
      </c>
      <c r="Y8" s="47"/>
      <c r="Z8" s="20">
        <f>Z7/Z6</f>
        <v>28.209709677419355</v>
      </c>
      <c r="AA8" s="20">
        <f>AA7/AA6</f>
        <v>11.075396825396826</v>
      </c>
      <c r="AB8" s="47"/>
      <c r="AC8" s="20">
        <f>AC7/AC6</f>
        <v>32.874133734840356</v>
      </c>
      <c r="AD8" s="20">
        <f>AD7/AD6</f>
        <v>10.728095992755264</v>
      </c>
      <c r="AE8" s="47"/>
      <c r="AF8" s="20">
        <f>AF7/AF6</f>
        <v>11.330494505494505</v>
      </c>
      <c r="AG8" s="20">
        <f>AG7/AG6</f>
        <v>8.9332327423613727</v>
      </c>
      <c r="AH8" s="47"/>
      <c r="AI8" s="20">
        <f>AI7/AI6</f>
        <v>32.09468431933842</v>
      </c>
      <c r="AJ8" s="20">
        <f>AJ7/AJ6</f>
        <v>10.054895302773062</v>
      </c>
      <c r="AK8" s="47"/>
      <c r="AL8" s="20">
        <f>AL7/AL6</f>
        <v>170</v>
      </c>
      <c r="AM8" s="20">
        <f>AM7/AM6</f>
        <v>41.768000000000001</v>
      </c>
      <c r="AN8" s="47"/>
      <c r="AO8" s="20">
        <f>AO7/AO6</f>
        <v>32.096055024898369</v>
      </c>
      <c r="AP8" s="20">
        <f>AP7/AP6</f>
        <v>11.138289150040995</v>
      </c>
      <c r="AQ8" s="47"/>
      <c r="AR8" s="20">
        <f>AR7/AR6</f>
        <v>7.2948960302457468</v>
      </c>
      <c r="AS8" s="20">
        <f>AS7/AS6</f>
        <v>10.26031025349981</v>
      </c>
      <c r="AT8" s="47"/>
      <c r="AU8" s="20">
        <f>AU7/AU6</f>
        <v>31.460737598543396</v>
      </c>
      <c r="AV8" s="20">
        <f>AV7/AV6</f>
        <v>10.905330790081317</v>
      </c>
      <c r="AW8" s="47"/>
      <c r="AX8" s="20" t="e">
        <f>AX7/AX6</f>
        <v>#DIV/0!</v>
      </c>
      <c r="AY8" s="20" t="e">
        <f>AY7/AY6</f>
        <v>#DIV/0!</v>
      </c>
      <c r="AZ8" s="47"/>
      <c r="BA8" s="20">
        <f>BA7/BA6</f>
        <v>31.46355589129719</v>
      </c>
      <c r="BB8" s="20">
        <f>BB7/BB6</f>
        <v>11.069470936652946</v>
      </c>
      <c r="BC8" s="47"/>
      <c r="BD8" s="20">
        <f>BD7/BD6</f>
        <v>10.916478555304741</v>
      </c>
      <c r="BE8" s="20">
        <f>BE7/BE6</f>
        <v>6.946206115515289</v>
      </c>
      <c r="BF8" s="47"/>
      <c r="BG8" s="20">
        <f>BG7/BG6</f>
        <v>31.116885342677051</v>
      </c>
      <c r="BH8" s="20">
        <f>BH7/BH6</f>
        <v>10.44853756288906</v>
      </c>
      <c r="BI8" s="47"/>
      <c r="BJ8" s="20">
        <f>BJ7/BJ6</f>
        <v>0.15389610389610389</v>
      </c>
      <c r="BK8" s="20">
        <f>BK7/BK6</f>
        <v>840</v>
      </c>
      <c r="BL8" s="47"/>
      <c r="BM8" s="20">
        <f>BM7/BM6</f>
        <v>30.66943490419083</v>
      </c>
      <c r="BN8" s="20">
        <f>BN7/BN6</f>
        <v>11.860900655486507</v>
      </c>
      <c r="BO8" s="47"/>
      <c r="BP8" s="20">
        <f>BP7/BP6</f>
        <v>3.7878787878787881</v>
      </c>
      <c r="BQ8" s="20">
        <f>BQ7/BQ6</f>
        <v>25.982593856655289</v>
      </c>
      <c r="BR8" s="47"/>
      <c r="BS8" s="20">
        <f>BS7/BS6</f>
        <v>30.019586835888138</v>
      </c>
      <c r="BT8" s="20">
        <f>BT7/BT6</f>
        <v>14.68004360564148</v>
      </c>
      <c r="BU8" s="47"/>
      <c r="BV8" s="20">
        <f>BV7/BV6</f>
        <v>470.08024691358025</v>
      </c>
      <c r="BW8" s="20">
        <f>BW7/BW6</f>
        <v>6.3392045454545451</v>
      </c>
      <c r="BX8" s="47"/>
      <c r="BY8" s="20">
        <f>BY7/BY6</f>
        <v>30.671421256674712</v>
      </c>
      <c r="BZ8" s="20">
        <f>BZ7/BZ6</f>
        <v>13.786944089554055</v>
      </c>
      <c r="CA8" s="47"/>
      <c r="CB8" s="6"/>
    </row>
    <row r="9" spans="1:80" s="1" customFormat="1" ht="19.5" customHeight="1">
      <c r="A9" s="164" t="s">
        <v>82</v>
      </c>
      <c r="B9" s="133" t="s">
        <v>26</v>
      </c>
      <c r="C9" s="32" t="s">
        <v>42</v>
      </c>
      <c r="D9" s="22">
        <v>6</v>
      </c>
      <c r="E9" s="22">
        <v>6231</v>
      </c>
      <c r="F9" s="22">
        <v>159810</v>
      </c>
      <c r="G9" s="22">
        <v>2746</v>
      </c>
      <c r="H9" s="22">
        <v>1795</v>
      </c>
      <c r="I9" s="22">
        <v>4538</v>
      </c>
      <c r="J9" s="22">
        <v>95328</v>
      </c>
      <c r="K9" s="22">
        <v>3500</v>
      </c>
      <c r="L9" s="22">
        <v>0</v>
      </c>
      <c r="M9" s="48">
        <f t="shared" si="0"/>
        <v>-100</v>
      </c>
      <c r="N9" s="23">
        <f>Q9-K9</f>
        <v>21808</v>
      </c>
      <c r="O9" s="22">
        <f>R9-L9</f>
        <v>0</v>
      </c>
      <c r="P9" s="49">
        <f t="shared" si="1"/>
        <v>-100</v>
      </c>
      <c r="Q9" s="22">
        <v>25308</v>
      </c>
      <c r="R9" s="22">
        <v>0</v>
      </c>
      <c r="S9" s="49">
        <f t="shared" si="2"/>
        <v>-100</v>
      </c>
      <c r="T9" s="23">
        <f>W9-Q9</f>
        <v>38020</v>
      </c>
      <c r="U9" s="22">
        <f>X9-R9</f>
        <v>0</v>
      </c>
      <c r="V9" s="49">
        <f t="shared" ref="V9:V10" si="23">(U9/T9-1)*100</f>
        <v>-100</v>
      </c>
      <c r="W9" s="22">
        <v>63328</v>
      </c>
      <c r="X9" s="22">
        <v>0</v>
      </c>
      <c r="Y9" s="49">
        <f t="shared" ref="Y9:Y10" si="24">(X9/W9-1)*100</f>
        <v>-100</v>
      </c>
      <c r="Z9" s="23">
        <f>AC9-W9</f>
        <v>31000</v>
      </c>
      <c r="AA9" s="22">
        <f>AD9-X9</f>
        <v>0</v>
      </c>
      <c r="AB9" s="49">
        <f t="shared" ref="AB9:AB10" si="25">(AA9/Z9-1)*100</f>
        <v>-100</v>
      </c>
      <c r="AC9" s="22">
        <v>94328</v>
      </c>
      <c r="AD9" s="22">
        <v>0</v>
      </c>
      <c r="AE9" s="49">
        <f t="shared" ref="AE9:AE10" si="26">(AD9/AC9-1)*100</f>
        <v>-100</v>
      </c>
      <c r="AF9" s="23">
        <f>AI9-AC9</f>
        <v>1000</v>
      </c>
      <c r="AG9" s="22">
        <f>AJ9-AD9</f>
        <v>1</v>
      </c>
      <c r="AH9" s="49">
        <f t="shared" ref="AH9:AH10" si="27">(AG9/AF9-1)*100</f>
        <v>-99.9</v>
      </c>
      <c r="AI9" s="22">
        <v>95328</v>
      </c>
      <c r="AJ9" s="22">
        <v>1</v>
      </c>
      <c r="AK9" s="49">
        <f t="shared" ref="AK9:AK10" si="28">(AJ9/AI9-1)*100</f>
        <v>-99.998950990265186</v>
      </c>
      <c r="AL9" s="23">
        <f>AO9-AI9</f>
        <v>0</v>
      </c>
      <c r="AM9" s="22">
        <f>AP9-AJ9</f>
        <v>0</v>
      </c>
      <c r="AN9" s="49" t="e">
        <f t="shared" ref="AN9:AN10" si="29">(AM9/AL9-1)*100</f>
        <v>#DIV/0!</v>
      </c>
      <c r="AO9" s="22">
        <v>95328</v>
      </c>
      <c r="AP9" s="22">
        <v>1</v>
      </c>
      <c r="AQ9" s="49">
        <f t="shared" ref="AQ9:AQ10" si="30">(AP9/AO9-1)*100</f>
        <v>-99.998950990265186</v>
      </c>
      <c r="AR9" s="23">
        <f>AU9-AO9</f>
        <v>0</v>
      </c>
      <c r="AS9" s="22">
        <f>AV9-AP9</f>
        <v>0</v>
      </c>
      <c r="AT9" s="49" t="e">
        <f t="shared" ref="AT9:AT10" si="31">(AS9/AR9-1)*100</f>
        <v>#DIV/0!</v>
      </c>
      <c r="AU9" s="22">
        <v>95328</v>
      </c>
      <c r="AV9" s="22">
        <v>1</v>
      </c>
      <c r="AW9" s="49">
        <f t="shared" ref="AW9:AW10" si="32">(AV9/AU9-1)*100</f>
        <v>-99.998950990265186</v>
      </c>
      <c r="AX9" s="23">
        <f>BA9-AU9</f>
        <v>0</v>
      </c>
      <c r="AY9" s="22">
        <f>BB9-AV9</f>
        <v>0</v>
      </c>
      <c r="AZ9" s="49" t="e">
        <f t="shared" ref="AZ9:AZ10" si="33">(AY9/AX9-1)*100</f>
        <v>#DIV/0!</v>
      </c>
      <c r="BA9" s="22">
        <v>95328</v>
      </c>
      <c r="BB9" s="22">
        <v>1</v>
      </c>
      <c r="BC9" s="49">
        <f t="shared" ref="BC9:BC10" si="34">(BB9/BA9-1)*100</f>
        <v>-99.998950990265186</v>
      </c>
      <c r="BD9" s="23">
        <f>BG9-BA9</f>
        <v>0</v>
      </c>
      <c r="BE9" s="22">
        <f>BH9-BB9</f>
        <v>5</v>
      </c>
      <c r="BF9" s="49" t="e">
        <f t="shared" ref="BF9:BF10" si="35">(BE9/BD9-1)*100</f>
        <v>#DIV/0!</v>
      </c>
      <c r="BG9" s="22">
        <v>95328</v>
      </c>
      <c r="BH9" s="22">
        <v>6</v>
      </c>
      <c r="BI9" s="49">
        <f t="shared" ref="BI9:BI10" si="36">(BH9/BG9-1)*100</f>
        <v>-99.993705941591145</v>
      </c>
      <c r="BJ9" s="23">
        <f>BM9-BG9</f>
        <v>0</v>
      </c>
      <c r="BK9" s="22">
        <f>BN9-BH9</f>
        <v>0</v>
      </c>
      <c r="BL9" s="49" t="e">
        <f t="shared" ref="BL9:BL10" si="37">(BK9/BJ9-1)*100</f>
        <v>#DIV/0!</v>
      </c>
      <c r="BM9" s="22">
        <v>95328</v>
      </c>
      <c r="BN9" s="22">
        <v>6</v>
      </c>
      <c r="BO9" s="49">
        <f t="shared" ref="BO9:BO10" si="38">(BN9/BM9-1)*100</f>
        <v>-99.993705941591145</v>
      </c>
      <c r="BP9" s="23">
        <f>BS9-BM9</f>
        <v>0</v>
      </c>
      <c r="BQ9" s="22">
        <f>BT9-BN9</f>
        <v>0</v>
      </c>
      <c r="BR9" s="49" t="e">
        <f t="shared" ref="BR9:BR10" si="39">(BQ9/BP9-1)*100</f>
        <v>#DIV/0!</v>
      </c>
      <c r="BS9" s="22">
        <v>95328</v>
      </c>
      <c r="BT9" s="22">
        <v>6</v>
      </c>
      <c r="BU9" s="49">
        <f t="shared" ref="BU9:BU10" si="40">(BT9/BS9-1)*100</f>
        <v>-99.993705941591145</v>
      </c>
      <c r="BV9" s="23">
        <f>BY9-BS9</f>
        <v>0</v>
      </c>
      <c r="BW9" s="22">
        <f>BZ9-BT9</f>
        <v>0</v>
      </c>
      <c r="BX9" s="49" t="e">
        <f t="shared" ref="BX9:BX10" si="41">(BW9/BV9-1)*100</f>
        <v>#DIV/0!</v>
      </c>
      <c r="BY9" s="22">
        <v>95328</v>
      </c>
      <c r="BZ9" s="22">
        <v>6</v>
      </c>
      <c r="CA9" s="49">
        <f t="shared" ref="CA9:CA10" si="42">(BZ9/BY9-1)*100</f>
        <v>-99.993705941591145</v>
      </c>
      <c r="CB9" s="6"/>
    </row>
    <row r="10" spans="1:80" s="1" customFormat="1" ht="19.5" customHeight="1">
      <c r="A10" s="152"/>
      <c r="B10" s="120"/>
      <c r="C10" s="33" t="s">
        <v>104</v>
      </c>
      <c r="D10" s="17">
        <v>24</v>
      </c>
      <c r="E10" s="17">
        <v>139938</v>
      </c>
      <c r="F10" s="17">
        <v>5809206</v>
      </c>
      <c r="G10" s="17">
        <v>42527</v>
      </c>
      <c r="H10" s="17">
        <v>52455</v>
      </c>
      <c r="I10" s="17">
        <v>252432</v>
      </c>
      <c r="J10" s="17">
        <v>3198510</v>
      </c>
      <c r="K10" s="17">
        <v>188191</v>
      </c>
      <c r="L10" s="17">
        <v>0</v>
      </c>
      <c r="M10" s="50">
        <f t="shared" si="0"/>
        <v>-100</v>
      </c>
      <c r="N10" s="14">
        <f>Q10-K10</f>
        <v>881603</v>
      </c>
      <c r="O10" s="14">
        <f>R10-L10</f>
        <v>0</v>
      </c>
      <c r="P10" s="51">
        <f t="shared" si="1"/>
        <v>-100</v>
      </c>
      <c r="Q10" s="17">
        <v>1069794</v>
      </c>
      <c r="R10" s="17">
        <v>0</v>
      </c>
      <c r="S10" s="51">
        <f t="shared" si="2"/>
        <v>-100</v>
      </c>
      <c r="T10" s="14">
        <f>W10-Q10</f>
        <v>1227724</v>
      </c>
      <c r="U10" s="14">
        <f>X10-R10</f>
        <v>80</v>
      </c>
      <c r="V10" s="51">
        <f t="shared" si="23"/>
        <v>-99.993483877483868</v>
      </c>
      <c r="W10" s="17">
        <v>2297518</v>
      </c>
      <c r="X10" s="17">
        <v>80</v>
      </c>
      <c r="Y10" s="51">
        <f t="shared" si="24"/>
        <v>-99.996517981578378</v>
      </c>
      <c r="Z10" s="14">
        <f>AC10-W10</f>
        <v>874501</v>
      </c>
      <c r="AA10" s="14">
        <f>AD10-X10</f>
        <v>62</v>
      </c>
      <c r="AB10" s="51">
        <f t="shared" si="25"/>
        <v>-99.992910242526875</v>
      </c>
      <c r="AC10" s="17">
        <v>3172019</v>
      </c>
      <c r="AD10" s="17">
        <v>142</v>
      </c>
      <c r="AE10" s="51">
        <f t="shared" si="26"/>
        <v>-99.995523355944599</v>
      </c>
      <c r="AF10" s="14">
        <f>AI10-AC10</f>
        <v>26243</v>
      </c>
      <c r="AG10" s="14">
        <f>AJ10-AD10</f>
        <v>732</v>
      </c>
      <c r="AH10" s="51">
        <f t="shared" si="27"/>
        <v>-97.210684754029643</v>
      </c>
      <c r="AI10" s="17">
        <v>3198262</v>
      </c>
      <c r="AJ10" s="17">
        <v>874</v>
      </c>
      <c r="AK10" s="51">
        <f t="shared" si="28"/>
        <v>-99.972672657837293</v>
      </c>
      <c r="AL10" s="14">
        <f>AO10-AI10</f>
        <v>0</v>
      </c>
      <c r="AM10" s="14">
        <f>AP10-AJ10</f>
        <v>0</v>
      </c>
      <c r="AN10" s="51" t="e">
        <f t="shared" si="29"/>
        <v>#DIV/0!</v>
      </c>
      <c r="AO10" s="17">
        <v>3198262</v>
      </c>
      <c r="AP10" s="17">
        <v>874</v>
      </c>
      <c r="AQ10" s="51">
        <f t="shared" si="30"/>
        <v>-99.972672657837293</v>
      </c>
      <c r="AR10" s="14">
        <f>AU10-AO10</f>
        <v>95</v>
      </c>
      <c r="AS10" s="14">
        <f>AV10-AP10</f>
        <v>0</v>
      </c>
      <c r="AT10" s="51">
        <f t="shared" si="31"/>
        <v>-100</v>
      </c>
      <c r="AU10" s="17">
        <v>3198357</v>
      </c>
      <c r="AV10" s="17">
        <v>874</v>
      </c>
      <c r="AW10" s="51">
        <f t="shared" si="32"/>
        <v>-99.972673469534513</v>
      </c>
      <c r="AX10" s="14">
        <f>BA10-AU10</f>
        <v>56</v>
      </c>
      <c r="AY10" s="14">
        <f>BB10-AV10</f>
        <v>59</v>
      </c>
      <c r="AZ10" s="51">
        <f t="shared" si="33"/>
        <v>5.3571428571428603</v>
      </c>
      <c r="BA10" s="17">
        <v>3198413</v>
      </c>
      <c r="BB10" s="17">
        <v>933</v>
      </c>
      <c r="BC10" s="51">
        <f t="shared" si="34"/>
        <v>-99.970829283147609</v>
      </c>
      <c r="BD10" s="14">
        <f>BG10-BA10</f>
        <v>0</v>
      </c>
      <c r="BE10" s="14">
        <f>BH10-BB10</f>
        <v>373</v>
      </c>
      <c r="BF10" s="51" t="e">
        <f t="shared" si="35"/>
        <v>#DIV/0!</v>
      </c>
      <c r="BG10" s="17">
        <v>3198413</v>
      </c>
      <c r="BH10" s="17">
        <v>1306</v>
      </c>
      <c r="BI10" s="51">
        <f t="shared" si="36"/>
        <v>-99.959167249507814</v>
      </c>
      <c r="BJ10" s="14">
        <f>BM10-BG10</f>
        <v>97</v>
      </c>
      <c r="BK10" s="14">
        <f>BN10-BH10</f>
        <v>0</v>
      </c>
      <c r="BL10" s="51">
        <f t="shared" si="37"/>
        <v>-100</v>
      </c>
      <c r="BM10" s="17">
        <v>3198510</v>
      </c>
      <c r="BN10" s="17">
        <v>1306</v>
      </c>
      <c r="BO10" s="51">
        <f t="shared" si="38"/>
        <v>-99.959168487827142</v>
      </c>
      <c r="BP10" s="14">
        <f>BS10-BM10</f>
        <v>0</v>
      </c>
      <c r="BQ10" s="14">
        <f>BT10-BN10</f>
        <v>229</v>
      </c>
      <c r="BR10" s="51" t="e">
        <f t="shared" si="39"/>
        <v>#DIV/0!</v>
      </c>
      <c r="BS10" s="17">
        <v>3198510</v>
      </c>
      <c r="BT10" s="17">
        <v>1535</v>
      </c>
      <c r="BU10" s="51">
        <f t="shared" si="40"/>
        <v>-99.952008904145998</v>
      </c>
      <c r="BV10" s="14">
        <f>BY10-BS10</f>
        <v>0</v>
      </c>
      <c r="BW10" s="14">
        <f>BZ10-BT10</f>
        <v>57</v>
      </c>
      <c r="BX10" s="51" t="e">
        <f t="shared" si="41"/>
        <v>#DIV/0!</v>
      </c>
      <c r="BY10" s="17">
        <v>3198510</v>
      </c>
      <c r="BZ10" s="17">
        <v>1592</v>
      </c>
      <c r="CA10" s="51">
        <f t="shared" si="42"/>
        <v>-99.950226824365103</v>
      </c>
      <c r="CB10" s="6"/>
    </row>
    <row r="11" spans="1:80" s="1" customFormat="1" ht="19.5" customHeight="1" thickBot="1">
      <c r="A11" s="153"/>
      <c r="B11" s="121"/>
      <c r="C11" s="34" t="s">
        <v>105</v>
      </c>
      <c r="D11" s="19">
        <f>D10/D9</f>
        <v>4</v>
      </c>
      <c r="E11" s="19">
        <f>E10/E9</f>
        <v>22.458353394318728</v>
      </c>
      <c r="F11" s="19">
        <f>F10/F9</f>
        <v>36.350703960953631</v>
      </c>
      <c r="G11" s="45"/>
      <c r="H11" s="20">
        <f>H10/H9</f>
        <v>29.222841225626741</v>
      </c>
      <c r="I11" s="20">
        <f>I10/I9</f>
        <v>55.626267078007935</v>
      </c>
      <c r="J11" s="20">
        <f>J10/J9</f>
        <v>33.552681268882175</v>
      </c>
      <c r="K11" s="20">
        <f>K10/K9</f>
        <v>53.768857142857144</v>
      </c>
      <c r="L11" s="20" t="e">
        <f>L10/L9</f>
        <v>#DIV/0!</v>
      </c>
      <c r="M11" s="46"/>
      <c r="N11" s="20">
        <f>N10/N9</f>
        <v>40.425669479090239</v>
      </c>
      <c r="O11" s="20" t="e">
        <f>O10/O9</f>
        <v>#DIV/0!</v>
      </c>
      <c r="P11" s="47"/>
      <c r="Q11" s="20">
        <f>Q10/Q9</f>
        <v>42.270981507823613</v>
      </c>
      <c r="R11" s="20" t="e">
        <f>R10/R9</f>
        <v>#DIV/0!</v>
      </c>
      <c r="S11" s="47"/>
      <c r="T11" s="20">
        <f>T10/T9</f>
        <v>32.291530773277223</v>
      </c>
      <c r="U11" s="20" t="e">
        <f>U10/U9</f>
        <v>#DIV/0!</v>
      </c>
      <c r="V11" s="47"/>
      <c r="W11" s="20">
        <f>W10/W9</f>
        <v>36.279655128852959</v>
      </c>
      <c r="X11" s="20" t="e">
        <f>X10/X9</f>
        <v>#DIV/0!</v>
      </c>
      <c r="Y11" s="47"/>
      <c r="Z11" s="20">
        <f>Z10/Z9</f>
        <v>28.209709677419355</v>
      </c>
      <c r="AA11" s="20" t="e">
        <f>AA10/AA9</f>
        <v>#DIV/0!</v>
      </c>
      <c r="AB11" s="47"/>
      <c r="AC11" s="20">
        <f>AC10/AC9</f>
        <v>33.627544313459417</v>
      </c>
      <c r="AD11" s="20" t="e">
        <f>AD10/AD9</f>
        <v>#DIV/0!</v>
      </c>
      <c r="AE11" s="47"/>
      <c r="AF11" s="20">
        <f>AF10/AF9</f>
        <v>26.242999999999999</v>
      </c>
      <c r="AG11" s="20">
        <f>AG10/AG9</f>
        <v>732</v>
      </c>
      <c r="AH11" s="47"/>
      <c r="AI11" s="20">
        <f>AI10/AI9</f>
        <v>33.550079724739845</v>
      </c>
      <c r="AJ11" s="20">
        <f>AJ10/AJ9</f>
        <v>874</v>
      </c>
      <c r="AK11" s="47"/>
      <c r="AL11" s="20" t="e">
        <f>AL10/AL9</f>
        <v>#DIV/0!</v>
      </c>
      <c r="AM11" s="20" t="e">
        <f>AM10/AM9</f>
        <v>#DIV/0!</v>
      </c>
      <c r="AN11" s="47"/>
      <c r="AO11" s="20">
        <f>AO10/AO9</f>
        <v>33.550079724739845</v>
      </c>
      <c r="AP11" s="20">
        <f>AP10/AP9</f>
        <v>874</v>
      </c>
      <c r="AQ11" s="47"/>
      <c r="AR11" s="20" t="e">
        <f>AR10/AR9</f>
        <v>#DIV/0!</v>
      </c>
      <c r="AS11" s="20" t="e">
        <f>AS10/AS9</f>
        <v>#DIV/0!</v>
      </c>
      <c r="AT11" s="47"/>
      <c r="AU11" s="20">
        <f>AU10/AU9</f>
        <v>33.551076283987918</v>
      </c>
      <c r="AV11" s="20">
        <f>AV10/AV9</f>
        <v>874</v>
      </c>
      <c r="AW11" s="47"/>
      <c r="AX11" s="20" t="e">
        <f>AX10/AX9</f>
        <v>#DIV/0!</v>
      </c>
      <c r="AY11" s="20" t="e">
        <f>AY10/AY9</f>
        <v>#DIV/0!</v>
      </c>
      <c r="AZ11" s="47"/>
      <c r="BA11" s="20">
        <f>BA10/BA9</f>
        <v>33.551663729439412</v>
      </c>
      <c r="BB11" s="20">
        <f>BB10/BB9</f>
        <v>933</v>
      </c>
      <c r="BC11" s="47"/>
      <c r="BD11" s="20" t="e">
        <f>BD10/BD9</f>
        <v>#DIV/0!</v>
      </c>
      <c r="BE11" s="20">
        <f>BE10/BE9</f>
        <v>74.599999999999994</v>
      </c>
      <c r="BF11" s="47"/>
      <c r="BG11" s="20">
        <f>BG10/BG9</f>
        <v>33.551663729439412</v>
      </c>
      <c r="BH11" s="20">
        <f>BH10/BH9</f>
        <v>217.66666666666666</v>
      </c>
      <c r="BI11" s="47"/>
      <c r="BJ11" s="20" t="e">
        <f>BJ10/BJ9</f>
        <v>#DIV/0!</v>
      </c>
      <c r="BK11" s="20" t="e">
        <f>BK10/BK9</f>
        <v>#DIV/0!</v>
      </c>
      <c r="BL11" s="47"/>
      <c r="BM11" s="20">
        <f>BM10/BM9</f>
        <v>33.552681268882175</v>
      </c>
      <c r="BN11" s="20">
        <f>BN10/BN9</f>
        <v>217.66666666666666</v>
      </c>
      <c r="BO11" s="47"/>
      <c r="BP11" s="20" t="e">
        <f>BP10/BP9</f>
        <v>#DIV/0!</v>
      </c>
      <c r="BQ11" s="20" t="e">
        <f>BQ10/BQ9</f>
        <v>#DIV/0!</v>
      </c>
      <c r="BR11" s="47"/>
      <c r="BS11" s="20">
        <f>BS10/BS9</f>
        <v>33.552681268882175</v>
      </c>
      <c r="BT11" s="20">
        <f>BT10/BT9</f>
        <v>255.83333333333334</v>
      </c>
      <c r="BU11" s="47"/>
      <c r="BV11" s="20" t="e">
        <f>BV10/BV9</f>
        <v>#DIV/0!</v>
      </c>
      <c r="BW11" s="20" t="e">
        <f>BW10/BW9</f>
        <v>#DIV/0!</v>
      </c>
      <c r="BX11" s="47"/>
      <c r="BY11" s="20">
        <f>BY10/BY9</f>
        <v>33.552681268882175</v>
      </c>
      <c r="BZ11" s="20">
        <f>BZ10/BZ9</f>
        <v>265.33333333333331</v>
      </c>
      <c r="CA11" s="47"/>
      <c r="CB11" s="6"/>
    </row>
    <row r="12" spans="1:80" s="1" customFormat="1" ht="19.5" customHeight="1">
      <c r="A12" s="164" t="s">
        <v>83</v>
      </c>
      <c r="B12" s="114" t="s">
        <v>72</v>
      </c>
      <c r="C12" s="32" t="s">
        <v>42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43" t="e">
        <f t="shared" si="0"/>
        <v>#DIV/0!</v>
      </c>
      <c r="N12" s="23">
        <f>Q12-K12</f>
        <v>0</v>
      </c>
      <c r="O12" s="22">
        <f>R12-L12</f>
        <v>0</v>
      </c>
      <c r="P12" s="15" t="e">
        <f t="shared" si="1"/>
        <v>#DIV/0!</v>
      </c>
      <c r="Q12" s="22">
        <v>0</v>
      </c>
      <c r="R12" s="22">
        <v>0</v>
      </c>
      <c r="S12" s="15" t="e">
        <f t="shared" si="2"/>
        <v>#DIV/0!</v>
      </c>
      <c r="T12" s="23">
        <f>W12-Q12</f>
        <v>0</v>
      </c>
      <c r="U12" s="22">
        <f>X12-R12</f>
        <v>0</v>
      </c>
      <c r="V12" s="15" t="e">
        <f t="shared" ref="V12:V13" si="43">(U12/T12-1)*100</f>
        <v>#DIV/0!</v>
      </c>
      <c r="W12" s="22">
        <v>0</v>
      </c>
      <c r="X12" s="22">
        <v>0</v>
      </c>
      <c r="Y12" s="15" t="e">
        <f t="shared" ref="Y12:Y13" si="44">(X12/W12-1)*100</f>
        <v>#DIV/0!</v>
      </c>
      <c r="Z12" s="23">
        <f>AC12-W12</f>
        <v>0</v>
      </c>
      <c r="AA12" s="22">
        <f>AD12-X12</f>
        <v>0</v>
      </c>
      <c r="AB12" s="15" t="e">
        <f t="shared" ref="AB12:AB13" si="45">(AA12/Z12-1)*100</f>
        <v>#DIV/0!</v>
      </c>
      <c r="AC12" s="22">
        <v>0</v>
      </c>
      <c r="AD12" s="22">
        <v>0</v>
      </c>
      <c r="AE12" s="15" t="e">
        <f t="shared" ref="AE12:AE13" si="46">(AD12/AC12-1)*100</f>
        <v>#DIV/0!</v>
      </c>
      <c r="AF12" s="23">
        <f>AI12-AC12</f>
        <v>0</v>
      </c>
      <c r="AG12" s="22">
        <f>AJ12-AD12</f>
        <v>0</v>
      </c>
      <c r="AH12" s="15" t="e">
        <f t="shared" ref="AH12:AH13" si="47">(AG12/AF12-1)*100</f>
        <v>#DIV/0!</v>
      </c>
      <c r="AI12" s="22">
        <v>0</v>
      </c>
      <c r="AJ12" s="22">
        <v>0</v>
      </c>
      <c r="AK12" s="15" t="e">
        <f t="shared" ref="AK12:AK13" si="48">(AJ12/AI12-1)*100</f>
        <v>#DIV/0!</v>
      </c>
      <c r="AL12" s="23">
        <f>AO12-AI12</f>
        <v>0</v>
      </c>
      <c r="AM12" s="22">
        <f>AP12-AJ12</f>
        <v>0</v>
      </c>
      <c r="AN12" s="15" t="e">
        <f t="shared" ref="AN12:AN13" si="49">(AM12/AL12-1)*100</f>
        <v>#DIV/0!</v>
      </c>
      <c r="AO12" s="22">
        <v>0</v>
      </c>
      <c r="AP12" s="22">
        <v>0</v>
      </c>
      <c r="AQ12" s="15" t="e">
        <f t="shared" ref="AQ12:AQ13" si="50">(AP12/AO12-1)*100</f>
        <v>#DIV/0!</v>
      </c>
      <c r="AR12" s="23">
        <f>AU12-AO12</f>
        <v>0</v>
      </c>
      <c r="AS12" s="22">
        <f>AV12-AP12</f>
        <v>0</v>
      </c>
      <c r="AT12" s="15" t="e">
        <f t="shared" ref="AT12:AT13" si="51">(AS12/AR12-1)*100</f>
        <v>#DIV/0!</v>
      </c>
      <c r="AU12" s="22">
        <v>0</v>
      </c>
      <c r="AV12" s="22">
        <v>0</v>
      </c>
      <c r="AW12" s="15" t="e">
        <f t="shared" ref="AW12:AW13" si="52">(AV12/AU12-1)*100</f>
        <v>#DIV/0!</v>
      </c>
      <c r="AX12" s="23">
        <f>BA12-AU12</f>
        <v>0</v>
      </c>
      <c r="AY12" s="22">
        <f>BB12-AV12</f>
        <v>0</v>
      </c>
      <c r="AZ12" s="15" t="e">
        <f t="shared" ref="AZ12:AZ13" si="53">(AY12/AX12-1)*100</f>
        <v>#DIV/0!</v>
      </c>
      <c r="BA12" s="22">
        <v>0</v>
      </c>
      <c r="BB12" s="22">
        <v>0</v>
      </c>
      <c r="BC12" s="15" t="e">
        <f t="shared" ref="BC12:BC13" si="54">(BB12/BA12-1)*100</f>
        <v>#DIV/0!</v>
      </c>
      <c r="BD12" s="23">
        <f>BG12-BA12</f>
        <v>0</v>
      </c>
      <c r="BE12" s="22">
        <f>BH12-BB12</f>
        <v>0</v>
      </c>
      <c r="BF12" s="15" t="e">
        <f t="shared" ref="BF12:BF13" si="55">(BE12/BD12-1)*100</f>
        <v>#DIV/0!</v>
      </c>
      <c r="BG12" s="22">
        <v>0</v>
      </c>
      <c r="BH12" s="22">
        <v>0</v>
      </c>
      <c r="BI12" s="15" t="e">
        <f t="shared" ref="BI12:BI13" si="56">(BH12/BG12-1)*100</f>
        <v>#DIV/0!</v>
      </c>
      <c r="BJ12" s="23">
        <f>BM12-BG12</f>
        <v>0</v>
      </c>
      <c r="BK12" s="22">
        <f>BN12-BH12</f>
        <v>0</v>
      </c>
      <c r="BL12" s="15" t="e">
        <f t="shared" ref="BL12:BL13" si="57">(BK12/BJ12-1)*100</f>
        <v>#DIV/0!</v>
      </c>
      <c r="BM12" s="22">
        <v>0</v>
      </c>
      <c r="BN12" s="22">
        <v>0</v>
      </c>
      <c r="BO12" s="15" t="e">
        <f t="shared" ref="BO12:BO13" si="58">(BN12/BM12-1)*100</f>
        <v>#DIV/0!</v>
      </c>
      <c r="BP12" s="23">
        <f>BS12-BM12</f>
        <v>0</v>
      </c>
      <c r="BQ12" s="22">
        <f>BT12-BN12</f>
        <v>0</v>
      </c>
      <c r="BR12" s="15" t="e">
        <f t="shared" ref="BR12:BR13" si="59">(BQ12/BP12-1)*100</f>
        <v>#DIV/0!</v>
      </c>
      <c r="BS12" s="22">
        <v>0</v>
      </c>
      <c r="BT12" s="22">
        <v>0</v>
      </c>
      <c r="BU12" s="15" t="e">
        <f t="shared" ref="BU12:BU13" si="60">(BT12/BS12-1)*100</f>
        <v>#DIV/0!</v>
      </c>
      <c r="BV12" s="23">
        <f>BY12-BS12</f>
        <v>0</v>
      </c>
      <c r="BW12" s="22">
        <f>BZ12-BT12</f>
        <v>0</v>
      </c>
      <c r="BX12" s="15" t="e">
        <f t="shared" ref="BX12:BX13" si="61">(BW12/BV12-1)*100</f>
        <v>#DIV/0!</v>
      </c>
      <c r="BY12" s="22">
        <v>0</v>
      </c>
      <c r="BZ12" s="22">
        <v>0</v>
      </c>
      <c r="CA12" s="15" t="e">
        <f t="shared" ref="CA12:CA13" si="62">(BZ12/BY12-1)*100</f>
        <v>#DIV/0!</v>
      </c>
      <c r="CB12" s="6"/>
    </row>
    <row r="13" spans="1:80" s="1" customFormat="1" ht="19.5" customHeight="1">
      <c r="A13" s="152"/>
      <c r="B13" s="120"/>
      <c r="C13" s="33" t="s">
        <v>104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263</v>
      </c>
      <c r="K13" s="17">
        <v>0</v>
      </c>
      <c r="L13" s="17">
        <v>0</v>
      </c>
      <c r="M13" s="44" t="e">
        <f t="shared" si="0"/>
        <v>#DIV/0!</v>
      </c>
      <c r="N13" s="14">
        <f>Q13-K13</f>
        <v>0</v>
      </c>
      <c r="O13" s="14">
        <f>R13-L13</f>
        <v>0</v>
      </c>
      <c r="P13" s="18" t="e">
        <f t="shared" si="1"/>
        <v>#DIV/0!</v>
      </c>
      <c r="Q13" s="17">
        <v>0</v>
      </c>
      <c r="R13" s="17">
        <v>0</v>
      </c>
      <c r="S13" s="18" t="e">
        <f t="shared" si="2"/>
        <v>#DIV/0!</v>
      </c>
      <c r="T13" s="14">
        <f>W13-Q13</f>
        <v>0</v>
      </c>
      <c r="U13" s="14">
        <f>X13-R13</f>
        <v>0</v>
      </c>
      <c r="V13" s="18" t="e">
        <f t="shared" si="43"/>
        <v>#DIV/0!</v>
      </c>
      <c r="W13" s="17">
        <v>0</v>
      </c>
      <c r="X13" s="17">
        <v>0</v>
      </c>
      <c r="Y13" s="18" t="e">
        <f t="shared" si="44"/>
        <v>#DIV/0!</v>
      </c>
      <c r="Z13" s="14">
        <f>AC13-W13</f>
        <v>0</v>
      </c>
      <c r="AA13" s="14">
        <f>AD13-X13</f>
        <v>0</v>
      </c>
      <c r="AB13" s="18" t="e">
        <f t="shared" si="45"/>
        <v>#DIV/0!</v>
      </c>
      <c r="AC13" s="17">
        <v>0</v>
      </c>
      <c r="AD13" s="17">
        <v>0</v>
      </c>
      <c r="AE13" s="18" t="e">
        <f t="shared" si="46"/>
        <v>#DIV/0!</v>
      </c>
      <c r="AF13" s="14">
        <f>AI13-AC13</f>
        <v>0</v>
      </c>
      <c r="AG13" s="14">
        <f>AJ13-AD13</f>
        <v>0</v>
      </c>
      <c r="AH13" s="18" t="e">
        <f t="shared" si="47"/>
        <v>#DIV/0!</v>
      </c>
      <c r="AI13" s="17">
        <v>0</v>
      </c>
      <c r="AJ13" s="17">
        <v>0</v>
      </c>
      <c r="AK13" s="18" t="e">
        <f t="shared" si="48"/>
        <v>#DIV/0!</v>
      </c>
      <c r="AL13" s="14">
        <f>AO13-AI13</f>
        <v>0</v>
      </c>
      <c r="AM13" s="14">
        <f>AP13-AJ13</f>
        <v>0</v>
      </c>
      <c r="AN13" s="18" t="e">
        <f t="shared" si="49"/>
        <v>#DIV/0!</v>
      </c>
      <c r="AO13" s="17">
        <v>0</v>
      </c>
      <c r="AP13" s="17">
        <v>0</v>
      </c>
      <c r="AQ13" s="18" t="e">
        <f t="shared" si="50"/>
        <v>#DIV/0!</v>
      </c>
      <c r="AR13" s="14">
        <f>AU13-AO13</f>
        <v>0</v>
      </c>
      <c r="AS13" s="14">
        <f>AV13-AP13</f>
        <v>0</v>
      </c>
      <c r="AT13" s="18" t="e">
        <f t="shared" si="51"/>
        <v>#DIV/0!</v>
      </c>
      <c r="AU13" s="17">
        <v>0</v>
      </c>
      <c r="AV13" s="17">
        <v>0</v>
      </c>
      <c r="AW13" s="18" t="e">
        <f t="shared" si="52"/>
        <v>#DIV/0!</v>
      </c>
      <c r="AX13" s="14">
        <f>BA13-AU13</f>
        <v>0</v>
      </c>
      <c r="AY13" s="14">
        <f>BB13-AV13</f>
        <v>76</v>
      </c>
      <c r="AZ13" s="18" t="e">
        <f t="shared" si="53"/>
        <v>#DIV/0!</v>
      </c>
      <c r="BA13" s="17">
        <v>0</v>
      </c>
      <c r="BB13" s="17">
        <v>76</v>
      </c>
      <c r="BC13" s="18" t="e">
        <f t="shared" si="54"/>
        <v>#DIV/0!</v>
      </c>
      <c r="BD13" s="14">
        <f>BG13-BA13</f>
        <v>263</v>
      </c>
      <c r="BE13" s="14">
        <f>BH13-BB13</f>
        <v>95</v>
      </c>
      <c r="BF13" s="18">
        <f t="shared" si="55"/>
        <v>-63.878326996197721</v>
      </c>
      <c r="BG13" s="17">
        <v>263</v>
      </c>
      <c r="BH13" s="17">
        <v>171</v>
      </c>
      <c r="BI13" s="18">
        <f t="shared" si="56"/>
        <v>-34.980988593155892</v>
      </c>
      <c r="BJ13" s="14">
        <f>BM13-BG13</f>
        <v>0</v>
      </c>
      <c r="BK13" s="14">
        <f>BN13-BH13</f>
        <v>0</v>
      </c>
      <c r="BL13" s="18" t="e">
        <f t="shared" si="57"/>
        <v>#DIV/0!</v>
      </c>
      <c r="BM13" s="17">
        <v>263</v>
      </c>
      <c r="BN13" s="17">
        <v>171</v>
      </c>
      <c r="BO13" s="18">
        <f t="shared" si="58"/>
        <v>-34.980988593155892</v>
      </c>
      <c r="BP13" s="14">
        <f>BS13-BM13</f>
        <v>0</v>
      </c>
      <c r="BQ13" s="14">
        <f>BT13-BN13</f>
        <v>0</v>
      </c>
      <c r="BR13" s="18" t="e">
        <f t="shared" si="59"/>
        <v>#DIV/0!</v>
      </c>
      <c r="BS13" s="17">
        <v>263</v>
      </c>
      <c r="BT13" s="17">
        <v>171</v>
      </c>
      <c r="BU13" s="18">
        <f t="shared" si="60"/>
        <v>-34.980988593155892</v>
      </c>
      <c r="BV13" s="14">
        <f>BY13-BS13</f>
        <v>0</v>
      </c>
      <c r="BW13" s="14">
        <f>BZ13-BT13</f>
        <v>0</v>
      </c>
      <c r="BX13" s="18" t="e">
        <f t="shared" si="61"/>
        <v>#DIV/0!</v>
      </c>
      <c r="BY13" s="17">
        <v>263</v>
      </c>
      <c r="BZ13" s="17">
        <v>171</v>
      </c>
      <c r="CA13" s="18">
        <f t="shared" si="62"/>
        <v>-34.980988593155892</v>
      </c>
      <c r="CB13" s="6"/>
    </row>
    <row r="14" spans="1:80" s="1" customFormat="1" ht="19.5" customHeight="1" thickBot="1">
      <c r="A14" s="153"/>
      <c r="B14" s="121"/>
      <c r="C14" s="34" t="s">
        <v>105</v>
      </c>
      <c r="D14" s="19" t="e">
        <f>D13/D12</f>
        <v>#DIV/0!</v>
      </c>
      <c r="E14" s="19" t="e">
        <f>E13/E12</f>
        <v>#DIV/0!</v>
      </c>
      <c r="F14" s="19" t="e">
        <f>F13/F12</f>
        <v>#DIV/0!</v>
      </c>
      <c r="G14" s="45"/>
      <c r="H14" s="20" t="e">
        <f>H13/H12</f>
        <v>#DIV/0!</v>
      </c>
      <c r="I14" s="20" t="e">
        <f>I13/I12</f>
        <v>#DIV/0!</v>
      </c>
      <c r="J14" s="20" t="e">
        <f>J13/J12</f>
        <v>#DIV/0!</v>
      </c>
      <c r="K14" s="20" t="e">
        <f>K13/K12</f>
        <v>#DIV/0!</v>
      </c>
      <c r="L14" s="20" t="e">
        <f>L13/L12</f>
        <v>#DIV/0!</v>
      </c>
      <c r="M14" s="46"/>
      <c r="N14" s="20" t="e">
        <f>N13/N12</f>
        <v>#DIV/0!</v>
      </c>
      <c r="O14" s="20" t="e">
        <f>O13/O12</f>
        <v>#DIV/0!</v>
      </c>
      <c r="P14" s="47"/>
      <c r="Q14" s="20" t="e">
        <f>Q13/Q12</f>
        <v>#DIV/0!</v>
      </c>
      <c r="R14" s="20" t="e">
        <f>R13/R12</f>
        <v>#DIV/0!</v>
      </c>
      <c r="S14" s="47"/>
      <c r="T14" s="20" t="e">
        <f>T13/T12</f>
        <v>#DIV/0!</v>
      </c>
      <c r="U14" s="20" t="e">
        <f>U13/U12</f>
        <v>#DIV/0!</v>
      </c>
      <c r="V14" s="47"/>
      <c r="W14" s="20" t="e">
        <f>W13/W12</f>
        <v>#DIV/0!</v>
      </c>
      <c r="X14" s="20" t="e">
        <f>X13/X12</f>
        <v>#DIV/0!</v>
      </c>
      <c r="Y14" s="47"/>
      <c r="Z14" s="20" t="e">
        <f>Z13/Z12</f>
        <v>#DIV/0!</v>
      </c>
      <c r="AA14" s="20" t="e">
        <f>AA13/AA12</f>
        <v>#DIV/0!</v>
      </c>
      <c r="AB14" s="47"/>
      <c r="AC14" s="20" t="e">
        <f>AC13/AC12</f>
        <v>#DIV/0!</v>
      </c>
      <c r="AD14" s="20" t="e">
        <f>AD13/AD12</f>
        <v>#DIV/0!</v>
      </c>
      <c r="AE14" s="47"/>
      <c r="AF14" s="20" t="e">
        <f>AF13/AF12</f>
        <v>#DIV/0!</v>
      </c>
      <c r="AG14" s="20" t="e">
        <f>AG13/AG12</f>
        <v>#DIV/0!</v>
      </c>
      <c r="AH14" s="47"/>
      <c r="AI14" s="20" t="e">
        <f>AI13/AI12</f>
        <v>#DIV/0!</v>
      </c>
      <c r="AJ14" s="20" t="e">
        <f>AJ13/AJ12</f>
        <v>#DIV/0!</v>
      </c>
      <c r="AK14" s="47"/>
      <c r="AL14" s="20" t="e">
        <f>AL13/AL12</f>
        <v>#DIV/0!</v>
      </c>
      <c r="AM14" s="20" t="e">
        <f>AM13/AM12</f>
        <v>#DIV/0!</v>
      </c>
      <c r="AN14" s="47"/>
      <c r="AO14" s="20" t="e">
        <f>AO13/AO12</f>
        <v>#DIV/0!</v>
      </c>
      <c r="AP14" s="20" t="e">
        <f>AP13/AP12</f>
        <v>#DIV/0!</v>
      </c>
      <c r="AQ14" s="47"/>
      <c r="AR14" s="20" t="e">
        <f>AR13/AR12</f>
        <v>#DIV/0!</v>
      </c>
      <c r="AS14" s="20" t="e">
        <f>AS13/AS12</f>
        <v>#DIV/0!</v>
      </c>
      <c r="AT14" s="47"/>
      <c r="AU14" s="20" t="e">
        <f>AU13/AU12</f>
        <v>#DIV/0!</v>
      </c>
      <c r="AV14" s="20" t="e">
        <f>AV13/AV12</f>
        <v>#DIV/0!</v>
      </c>
      <c r="AW14" s="47"/>
      <c r="AX14" s="20" t="e">
        <f>AX13/AX12</f>
        <v>#DIV/0!</v>
      </c>
      <c r="AY14" s="20" t="e">
        <f>AY13/AY12</f>
        <v>#DIV/0!</v>
      </c>
      <c r="AZ14" s="47"/>
      <c r="BA14" s="20" t="e">
        <f>BA13/BA12</f>
        <v>#DIV/0!</v>
      </c>
      <c r="BB14" s="20" t="e">
        <f>BB13/BB12</f>
        <v>#DIV/0!</v>
      </c>
      <c r="BC14" s="47"/>
      <c r="BD14" s="20" t="e">
        <f>BD13/BD12</f>
        <v>#DIV/0!</v>
      </c>
      <c r="BE14" s="20" t="e">
        <f>BE13/BE12</f>
        <v>#DIV/0!</v>
      </c>
      <c r="BF14" s="47"/>
      <c r="BG14" s="20" t="e">
        <f>BG13/BG12</f>
        <v>#DIV/0!</v>
      </c>
      <c r="BH14" s="20" t="e">
        <f>BH13/BH12</f>
        <v>#DIV/0!</v>
      </c>
      <c r="BI14" s="47"/>
      <c r="BJ14" s="20" t="e">
        <f>BJ13/BJ12</f>
        <v>#DIV/0!</v>
      </c>
      <c r="BK14" s="20" t="e">
        <f>BK13/BK12</f>
        <v>#DIV/0!</v>
      </c>
      <c r="BL14" s="47"/>
      <c r="BM14" s="20" t="e">
        <f>BM13/BM12</f>
        <v>#DIV/0!</v>
      </c>
      <c r="BN14" s="20" t="e">
        <f>BN13/BN12</f>
        <v>#DIV/0!</v>
      </c>
      <c r="BO14" s="47"/>
      <c r="BP14" s="20" t="e">
        <f>BP13/BP12</f>
        <v>#DIV/0!</v>
      </c>
      <c r="BQ14" s="20" t="e">
        <f>BQ13/BQ12</f>
        <v>#DIV/0!</v>
      </c>
      <c r="BR14" s="47"/>
      <c r="BS14" s="20" t="e">
        <f>BS13/BS12</f>
        <v>#DIV/0!</v>
      </c>
      <c r="BT14" s="20" t="e">
        <f>BT13/BT12</f>
        <v>#DIV/0!</v>
      </c>
      <c r="BU14" s="47"/>
      <c r="BV14" s="20" t="e">
        <f>BV13/BV12</f>
        <v>#DIV/0!</v>
      </c>
      <c r="BW14" s="20" t="e">
        <f>BW13/BW12</f>
        <v>#DIV/0!</v>
      </c>
      <c r="BX14" s="47"/>
      <c r="BY14" s="20" t="e">
        <f>BY13/BY12</f>
        <v>#DIV/0!</v>
      </c>
      <c r="BZ14" s="20" t="e">
        <f>BZ13/BZ12</f>
        <v>#DIV/0!</v>
      </c>
      <c r="CA14" s="47"/>
      <c r="CB14" s="6"/>
    </row>
    <row r="15" spans="1:80" s="1" customFormat="1" ht="19.5" customHeight="1">
      <c r="A15" s="164" t="s">
        <v>84</v>
      </c>
      <c r="B15" s="114" t="s">
        <v>27</v>
      </c>
      <c r="C15" s="32" t="s">
        <v>42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17</v>
      </c>
      <c r="K15" s="22">
        <v>0</v>
      </c>
      <c r="L15" s="22">
        <v>0</v>
      </c>
      <c r="M15" s="43" t="e">
        <f t="shared" si="0"/>
        <v>#DIV/0!</v>
      </c>
      <c r="N15" s="23">
        <f>Q15-K15</f>
        <v>0</v>
      </c>
      <c r="O15" s="22">
        <f>R15-L15</f>
        <v>10</v>
      </c>
      <c r="P15" s="15" t="e">
        <f t="shared" si="1"/>
        <v>#DIV/0!</v>
      </c>
      <c r="Q15" s="22">
        <v>0</v>
      </c>
      <c r="R15" s="22">
        <v>10</v>
      </c>
      <c r="S15" s="15" t="e">
        <f t="shared" si="2"/>
        <v>#DIV/0!</v>
      </c>
      <c r="T15" s="23">
        <f>W15-Q15</f>
        <v>0</v>
      </c>
      <c r="U15" s="22">
        <f>X15-R15</f>
        <v>3</v>
      </c>
      <c r="V15" s="15" t="e">
        <f t="shared" ref="V15:V16" si="63">(U15/T15-1)*100</f>
        <v>#DIV/0!</v>
      </c>
      <c r="W15" s="22">
        <v>0</v>
      </c>
      <c r="X15" s="22">
        <v>13</v>
      </c>
      <c r="Y15" s="15" t="e">
        <f t="shared" ref="Y15:Y16" si="64">(X15/W15-1)*100</f>
        <v>#DIV/0!</v>
      </c>
      <c r="Z15" s="23">
        <f>AC15-W15</f>
        <v>0</v>
      </c>
      <c r="AA15" s="22">
        <f>AD15-X15</f>
        <v>4</v>
      </c>
      <c r="AB15" s="15" t="e">
        <f t="shared" ref="AB15:AB16" si="65">(AA15/Z15-1)*100</f>
        <v>#DIV/0!</v>
      </c>
      <c r="AC15" s="22">
        <v>0</v>
      </c>
      <c r="AD15" s="22">
        <v>17</v>
      </c>
      <c r="AE15" s="15" t="e">
        <f t="shared" ref="AE15:AE16" si="66">(AD15/AC15-1)*100</f>
        <v>#DIV/0!</v>
      </c>
      <c r="AF15" s="23">
        <f>AI15-AC15</f>
        <v>0</v>
      </c>
      <c r="AG15" s="22">
        <f>AJ15-AD15</f>
        <v>10</v>
      </c>
      <c r="AH15" s="15" t="e">
        <f t="shared" ref="AH15:AH16" si="67">(AG15/AF15-1)*100</f>
        <v>#DIV/0!</v>
      </c>
      <c r="AI15" s="22">
        <v>0</v>
      </c>
      <c r="AJ15" s="22">
        <v>27</v>
      </c>
      <c r="AK15" s="15" t="e">
        <f t="shared" ref="AK15:AK16" si="68">(AJ15/AI15-1)*100</f>
        <v>#DIV/0!</v>
      </c>
      <c r="AL15" s="23">
        <f>AO15-AI15</f>
        <v>1</v>
      </c>
      <c r="AM15" s="22">
        <f>AP15-AJ15</f>
        <v>0</v>
      </c>
      <c r="AN15" s="15">
        <f t="shared" ref="AN15:AN16" si="69">(AM15/AL15-1)*100</f>
        <v>-100</v>
      </c>
      <c r="AO15" s="22">
        <v>1</v>
      </c>
      <c r="AP15" s="22">
        <v>27</v>
      </c>
      <c r="AQ15" s="15">
        <f t="shared" ref="AQ15:AQ16" si="70">(AP15/AO15-1)*100</f>
        <v>2600</v>
      </c>
      <c r="AR15" s="23">
        <f>AU15-AO15</f>
        <v>5</v>
      </c>
      <c r="AS15" s="22">
        <f>AV15-AP15</f>
        <v>0</v>
      </c>
      <c r="AT15" s="15">
        <f t="shared" ref="AT15:AT16" si="71">(AS15/AR15-1)*100</f>
        <v>-100</v>
      </c>
      <c r="AU15" s="22">
        <v>6</v>
      </c>
      <c r="AV15" s="22">
        <v>27</v>
      </c>
      <c r="AW15" s="15">
        <f t="shared" ref="AW15:AW16" si="72">(AV15/AU15-1)*100</f>
        <v>350</v>
      </c>
      <c r="AX15" s="23">
        <f>BA15-AU15</f>
        <v>0</v>
      </c>
      <c r="AY15" s="22">
        <f>BB15-AV15</f>
        <v>0</v>
      </c>
      <c r="AZ15" s="15" t="e">
        <f t="shared" ref="AZ15:AZ16" si="73">(AY15/AX15-1)*100</f>
        <v>#DIV/0!</v>
      </c>
      <c r="BA15" s="22">
        <v>6</v>
      </c>
      <c r="BB15" s="22">
        <v>27</v>
      </c>
      <c r="BC15" s="15">
        <f t="shared" ref="BC15:BC16" si="74">(BB15/BA15-1)*100</f>
        <v>350</v>
      </c>
      <c r="BD15" s="23">
        <f>BG15-BA15</f>
        <v>10</v>
      </c>
      <c r="BE15" s="22">
        <f>BH15-BB15</f>
        <v>1</v>
      </c>
      <c r="BF15" s="15">
        <f t="shared" ref="BF15:BF16" si="75">(BE15/BD15-1)*100</f>
        <v>-90</v>
      </c>
      <c r="BG15" s="22">
        <v>16</v>
      </c>
      <c r="BH15" s="22">
        <v>28</v>
      </c>
      <c r="BI15" s="15">
        <f t="shared" ref="BI15:BI16" si="76">(BH15/BG15-1)*100</f>
        <v>75</v>
      </c>
      <c r="BJ15" s="23">
        <f>BM15-BG15</f>
        <v>0</v>
      </c>
      <c r="BK15" s="22">
        <f>BN15-BH15</f>
        <v>20</v>
      </c>
      <c r="BL15" s="15" t="e">
        <f t="shared" ref="BL15:BL16" si="77">(BK15/BJ15-1)*100</f>
        <v>#DIV/0!</v>
      </c>
      <c r="BM15" s="22">
        <v>16</v>
      </c>
      <c r="BN15" s="22">
        <v>48</v>
      </c>
      <c r="BO15" s="15">
        <f t="shared" ref="BO15:BO16" si="78">(BN15/BM15-1)*100</f>
        <v>200</v>
      </c>
      <c r="BP15" s="23">
        <f>BS15-BM15</f>
        <v>0</v>
      </c>
      <c r="BQ15" s="22">
        <f>BT15-BN15</f>
        <v>1</v>
      </c>
      <c r="BR15" s="15" t="e">
        <f t="shared" ref="BR15:BR16" si="79">(BQ15/BP15-1)*100</f>
        <v>#DIV/0!</v>
      </c>
      <c r="BS15" s="22">
        <v>16</v>
      </c>
      <c r="BT15" s="22">
        <v>49</v>
      </c>
      <c r="BU15" s="15">
        <f t="shared" ref="BU15:BU16" si="80">(BT15/BS15-1)*100</f>
        <v>206.25</v>
      </c>
      <c r="BV15" s="23">
        <f>BY15-BS15</f>
        <v>1</v>
      </c>
      <c r="BW15" s="22">
        <f>BZ15-BT15</f>
        <v>0</v>
      </c>
      <c r="BX15" s="15">
        <f t="shared" ref="BX15:BX16" si="81">(BW15/BV15-1)*100</f>
        <v>-100</v>
      </c>
      <c r="BY15" s="22">
        <v>17</v>
      </c>
      <c r="BZ15" s="22">
        <v>49</v>
      </c>
      <c r="CA15" s="15">
        <f t="shared" ref="CA15:CA16" si="82">(BZ15/BY15-1)*100</f>
        <v>188.23529411764704</v>
      </c>
      <c r="CB15" s="6"/>
    </row>
    <row r="16" spans="1:80" s="1" customFormat="1" ht="19.5" customHeight="1">
      <c r="A16" s="152"/>
      <c r="B16" s="120"/>
      <c r="C16" s="33" t="s">
        <v>104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14233</v>
      </c>
      <c r="K16" s="17">
        <v>0</v>
      </c>
      <c r="L16" s="17">
        <v>0</v>
      </c>
      <c r="M16" s="44" t="e">
        <f t="shared" si="0"/>
        <v>#DIV/0!</v>
      </c>
      <c r="N16" s="14">
        <f>Q16-K16</f>
        <v>0</v>
      </c>
      <c r="O16" s="14">
        <f>R16-L16</f>
        <v>10206</v>
      </c>
      <c r="P16" s="18" t="e">
        <f t="shared" si="1"/>
        <v>#DIV/0!</v>
      </c>
      <c r="Q16" s="17">
        <v>0</v>
      </c>
      <c r="R16" s="17">
        <v>10206</v>
      </c>
      <c r="S16" s="18" t="e">
        <f t="shared" si="2"/>
        <v>#DIV/0!</v>
      </c>
      <c r="T16" s="14">
        <f>W16-Q16</f>
        <v>0</v>
      </c>
      <c r="U16" s="14">
        <f>X16-R16</f>
        <v>7563</v>
      </c>
      <c r="V16" s="18" t="e">
        <f t="shared" si="63"/>
        <v>#DIV/0!</v>
      </c>
      <c r="W16" s="17">
        <v>0</v>
      </c>
      <c r="X16" s="17">
        <v>17769</v>
      </c>
      <c r="Y16" s="18" t="e">
        <f t="shared" si="64"/>
        <v>#DIV/0!</v>
      </c>
      <c r="Z16" s="14">
        <f>AC16-W16</f>
        <v>0</v>
      </c>
      <c r="AA16" s="14">
        <f>AD16-X16</f>
        <v>9875</v>
      </c>
      <c r="AB16" s="18" t="e">
        <f t="shared" si="65"/>
        <v>#DIV/0!</v>
      </c>
      <c r="AC16" s="17">
        <v>0</v>
      </c>
      <c r="AD16" s="17">
        <v>27644</v>
      </c>
      <c r="AE16" s="18" t="e">
        <f t="shared" si="66"/>
        <v>#DIV/0!</v>
      </c>
      <c r="AF16" s="14">
        <f>AI16-AC16</f>
        <v>0</v>
      </c>
      <c r="AG16" s="14">
        <f>AJ16-AD16</f>
        <v>8550</v>
      </c>
      <c r="AH16" s="18" t="e">
        <f t="shared" si="67"/>
        <v>#DIV/0!</v>
      </c>
      <c r="AI16" s="17">
        <v>0</v>
      </c>
      <c r="AJ16" s="17">
        <v>36194</v>
      </c>
      <c r="AK16" s="18" t="e">
        <f t="shared" si="68"/>
        <v>#DIV/0!</v>
      </c>
      <c r="AL16" s="14">
        <f>AO16-AI16</f>
        <v>170</v>
      </c>
      <c r="AM16" s="14">
        <f>AP16-AJ16</f>
        <v>0</v>
      </c>
      <c r="AN16" s="18">
        <f t="shared" si="69"/>
        <v>-100</v>
      </c>
      <c r="AO16" s="17">
        <v>170</v>
      </c>
      <c r="AP16" s="17">
        <v>36194</v>
      </c>
      <c r="AQ16" s="18">
        <f t="shared" si="70"/>
        <v>21190.588235294119</v>
      </c>
      <c r="AR16" s="14">
        <f>AU16-AO16</f>
        <v>4200</v>
      </c>
      <c r="AS16" s="14">
        <f>AV16-AP16</f>
        <v>1050</v>
      </c>
      <c r="AT16" s="18">
        <f t="shared" si="71"/>
        <v>-75</v>
      </c>
      <c r="AU16" s="17">
        <v>4370</v>
      </c>
      <c r="AV16" s="17">
        <v>37244</v>
      </c>
      <c r="AW16" s="18">
        <f t="shared" si="72"/>
        <v>752.26544622425638</v>
      </c>
      <c r="AX16" s="14">
        <f>BA16-AU16</f>
        <v>235</v>
      </c>
      <c r="AY16" s="14">
        <f>BB16-AV16</f>
        <v>1500</v>
      </c>
      <c r="AZ16" s="18">
        <f t="shared" si="73"/>
        <v>538.29787234042556</v>
      </c>
      <c r="BA16" s="17">
        <v>4605</v>
      </c>
      <c r="BB16" s="17">
        <v>38744</v>
      </c>
      <c r="BC16" s="18">
        <f t="shared" si="74"/>
        <v>741.34636264929429</v>
      </c>
      <c r="BD16" s="14">
        <f>BG16-BA16</f>
        <v>8653</v>
      </c>
      <c r="BE16" s="14">
        <f>BH16-BB16</f>
        <v>1800</v>
      </c>
      <c r="BF16" s="18">
        <f t="shared" si="75"/>
        <v>-79.197966023344506</v>
      </c>
      <c r="BG16" s="17">
        <v>13258</v>
      </c>
      <c r="BH16" s="17">
        <v>40544</v>
      </c>
      <c r="BI16" s="18">
        <f t="shared" si="76"/>
        <v>205.80781414994723</v>
      </c>
      <c r="BJ16" s="14">
        <f>BM16-BG16</f>
        <v>0</v>
      </c>
      <c r="BK16" s="14">
        <f>BN16-BH16</f>
        <v>16800</v>
      </c>
      <c r="BL16" s="18" t="e">
        <f t="shared" si="77"/>
        <v>#DIV/0!</v>
      </c>
      <c r="BM16" s="17">
        <v>13258</v>
      </c>
      <c r="BN16" s="17">
        <v>57344</v>
      </c>
      <c r="BO16" s="18">
        <f t="shared" si="78"/>
        <v>332.5237592397043</v>
      </c>
      <c r="BP16" s="14">
        <f>BS16-BM16</f>
        <v>0</v>
      </c>
      <c r="BQ16" s="14">
        <f>BT16-BN16</f>
        <v>1500</v>
      </c>
      <c r="BR16" s="18" t="e">
        <f t="shared" si="79"/>
        <v>#DIV/0!</v>
      </c>
      <c r="BS16" s="17">
        <v>13258</v>
      </c>
      <c r="BT16" s="17">
        <v>58844</v>
      </c>
      <c r="BU16" s="18">
        <f t="shared" si="80"/>
        <v>343.83768290843261</v>
      </c>
      <c r="BV16" s="14">
        <f>BY16-BS16</f>
        <v>975</v>
      </c>
      <c r="BW16" s="14">
        <f>BZ16-BT16</f>
        <v>1500</v>
      </c>
      <c r="BX16" s="18">
        <f t="shared" si="81"/>
        <v>53.846153846153854</v>
      </c>
      <c r="BY16" s="17">
        <v>14233</v>
      </c>
      <c r="BZ16" s="17">
        <v>60344</v>
      </c>
      <c r="CA16" s="18">
        <f t="shared" si="82"/>
        <v>323.97245837139047</v>
      </c>
      <c r="CB16" s="6"/>
    </row>
    <row r="17" spans="1:80" s="1" customFormat="1" ht="19.5" customHeight="1" thickBot="1">
      <c r="A17" s="153"/>
      <c r="B17" s="121"/>
      <c r="C17" s="34" t="s">
        <v>105</v>
      </c>
      <c r="D17" s="19" t="e">
        <f>D16/D15</f>
        <v>#DIV/0!</v>
      </c>
      <c r="E17" s="19" t="e">
        <f>E16/E15</f>
        <v>#DIV/0!</v>
      </c>
      <c r="F17" s="19" t="e">
        <f>F16/F15</f>
        <v>#DIV/0!</v>
      </c>
      <c r="G17" s="45"/>
      <c r="H17" s="20" t="e">
        <f>H16/H15</f>
        <v>#DIV/0!</v>
      </c>
      <c r="I17" s="20" t="e">
        <f>I16/I15</f>
        <v>#DIV/0!</v>
      </c>
      <c r="J17" s="20">
        <f>J16/J15</f>
        <v>837.23529411764707</v>
      </c>
      <c r="K17" s="20" t="e">
        <f>K16/K15</f>
        <v>#DIV/0!</v>
      </c>
      <c r="L17" s="20" t="e">
        <f>L16/L15</f>
        <v>#DIV/0!</v>
      </c>
      <c r="M17" s="46"/>
      <c r="N17" s="20" t="e">
        <f>N16/N15</f>
        <v>#DIV/0!</v>
      </c>
      <c r="O17" s="20">
        <f>O16/O15</f>
        <v>1020.6</v>
      </c>
      <c r="P17" s="47"/>
      <c r="Q17" s="20" t="e">
        <f>Q16/Q15</f>
        <v>#DIV/0!</v>
      </c>
      <c r="R17" s="20">
        <f>R16/R15</f>
        <v>1020.6</v>
      </c>
      <c r="S17" s="47"/>
      <c r="T17" s="20" t="e">
        <f>T16/T15</f>
        <v>#DIV/0!</v>
      </c>
      <c r="U17" s="20">
        <f>U16/U15</f>
        <v>2521</v>
      </c>
      <c r="V17" s="47"/>
      <c r="W17" s="20" t="e">
        <f>W16/W15</f>
        <v>#DIV/0!</v>
      </c>
      <c r="X17" s="20">
        <f>X16/X15</f>
        <v>1366.8461538461538</v>
      </c>
      <c r="Y17" s="47"/>
      <c r="Z17" s="20" t="e">
        <f>Z16/Z15</f>
        <v>#DIV/0!</v>
      </c>
      <c r="AA17" s="20">
        <f>AA16/AA15</f>
        <v>2468.75</v>
      </c>
      <c r="AB17" s="47"/>
      <c r="AC17" s="20" t="e">
        <f>AC16/AC15</f>
        <v>#DIV/0!</v>
      </c>
      <c r="AD17" s="20">
        <f>AD16/AD15</f>
        <v>1626.1176470588234</v>
      </c>
      <c r="AE17" s="47"/>
      <c r="AF17" s="20" t="e">
        <f>AF16/AF15</f>
        <v>#DIV/0!</v>
      </c>
      <c r="AG17" s="20">
        <f>AG16/AG15</f>
        <v>855</v>
      </c>
      <c r="AH17" s="47"/>
      <c r="AI17" s="20" t="e">
        <f>AI16/AI15</f>
        <v>#DIV/0!</v>
      </c>
      <c r="AJ17" s="20">
        <f>AJ16/AJ15</f>
        <v>1340.5185185185185</v>
      </c>
      <c r="AK17" s="47"/>
      <c r="AL17" s="20">
        <f>AL16/AL15</f>
        <v>170</v>
      </c>
      <c r="AM17" s="20" t="e">
        <f>AM16/AM15</f>
        <v>#DIV/0!</v>
      </c>
      <c r="AN17" s="47"/>
      <c r="AO17" s="20">
        <f>AO16/AO15</f>
        <v>170</v>
      </c>
      <c r="AP17" s="20">
        <f>AP16/AP15</f>
        <v>1340.5185185185185</v>
      </c>
      <c r="AQ17" s="47"/>
      <c r="AR17" s="20">
        <f>AR16/AR15</f>
        <v>840</v>
      </c>
      <c r="AS17" s="20" t="e">
        <f>AS16/AS15</f>
        <v>#DIV/0!</v>
      </c>
      <c r="AT17" s="47"/>
      <c r="AU17" s="20">
        <f>AU16/AU15</f>
        <v>728.33333333333337</v>
      </c>
      <c r="AV17" s="20">
        <f>AV16/AV15</f>
        <v>1379.4074074074074</v>
      </c>
      <c r="AW17" s="47"/>
      <c r="AX17" s="20" t="e">
        <f>AX16/AX15</f>
        <v>#DIV/0!</v>
      </c>
      <c r="AY17" s="20" t="e">
        <f>AY16/AY15</f>
        <v>#DIV/0!</v>
      </c>
      <c r="AZ17" s="47"/>
      <c r="BA17" s="20">
        <f>BA16/BA15</f>
        <v>767.5</v>
      </c>
      <c r="BB17" s="20">
        <f>BB16/BB15</f>
        <v>1434.962962962963</v>
      </c>
      <c r="BC17" s="47"/>
      <c r="BD17" s="20">
        <f>BD16/BD15</f>
        <v>865.3</v>
      </c>
      <c r="BE17" s="20">
        <f>BE16/BE15</f>
        <v>1800</v>
      </c>
      <c r="BF17" s="47"/>
      <c r="BG17" s="20">
        <f>BG16/BG15</f>
        <v>828.625</v>
      </c>
      <c r="BH17" s="20">
        <f>BH16/BH15</f>
        <v>1448</v>
      </c>
      <c r="BI17" s="47"/>
      <c r="BJ17" s="20" t="e">
        <f>BJ16/BJ15</f>
        <v>#DIV/0!</v>
      </c>
      <c r="BK17" s="20">
        <f>BK16/BK15</f>
        <v>840</v>
      </c>
      <c r="BL17" s="47"/>
      <c r="BM17" s="20">
        <f>BM16/BM15</f>
        <v>828.625</v>
      </c>
      <c r="BN17" s="20">
        <f>BN16/BN15</f>
        <v>1194.6666666666667</v>
      </c>
      <c r="BO17" s="47"/>
      <c r="BP17" s="20" t="e">
        <f>BP16/BP15</f>
        <v>#DIV/0!</v>
      </c>
      <c r="BQ17" s="20">
        <f>BQ16/BQ15</f>
        <v>1500</v>
      </c>
      <c r="BR17" s="47"/>
      <c r="BS17" s="20">
        <f>BS16/BS15</f>
        <v>828.625</v>
      </c>
      <c r="BT17" s="20">
        <f>BT16/BT15</f>
        <v>1200.8979591836735</v>
      </c>
      <c r="BU17" s="47"/>
      <c r="BV17" s="20">
        <f>BV16/BV15</f>
        <v>975</v>
      </c>
      <c r="BW17" s="20" t="e">
        <f>BW16/BW15</f>
        <v>#DIV/0!</v>
      </c>
      <c r="BX17" s="47"/>
      <c r="BY17" s="20">
        <f>BY16/BY15</f>
        <v>837.23529411764707</v>
      </c>
      <c r="BZ17" s="20">
        <f>BZ16/BZ15</f>
        <v>1231.5102040816328</v>
      </c>
      <c r="CA17" s="47"/>
      <c r="CB17" s="6"/>
    </row>
    <row r="18" spans="1:80" s="1" customFormat="1" ht="19.5" customHeight="1">
      <c r="A18" s="164" t="s">
        <v>85</v>
      </c>
      <c r="B18" s="114" t="s">
        <v>73</v>
      </c>
      <c r="C18" s="32" t="s">
        <v>42</v>
      </c>
      <c r="D18" s="22">
        <v>56</v>
      </c>
      <c r="E18" s="22">
        <v>35</v>
      </c>
      <c r="F18" s="22">
        <v>26</v>
      </c>
      <c r="G18" s="22">
        <v>25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43" t="e">
        <f t="shared" si="0"/>
        <v>#DIV/0!</v>
      </c>
      <c r="N18" s="23">
        <f>Q18-K18</f>
        <v>0</v>
      </c>
      <c r="O18" s="22">
        <f>R18-L18</f>
        <v>0</v>
      </c>
      <c r="P18" s="15" t="e">
        <f t="shared" si="1"/>
        <v>#DIV/0!</v>
      </c>
      <c r="Q18" s="22">
        <v>0</v>
      </c>
      <c r="R18" s="22">
        <v>0</v>
      </c>
      <c r="S18" s="15" t="e">
        <f t="shared" si="2"/>
        <v>#DIV/0!</v>
      </c>
      <c r="T18" s="23">
        <f>W18-Q18</f>
        <v>0</v>
      </c>
      <c r="U18" s="22">
        <f>X18-R18</f>
        <v>0</v>
      </c>
      <c r="V18" s="15" t="e">
        <f t="shared" ref="V18:V19" si="83">(U18/T18-1)*100</f>
        <v>#DIV/0!</v>
      </c>
      <c r="W18" s="22">
        <v>0</v>
      </c>
      <c r="X18" s="22">
        <v>0</v>
      </c>
      <c r="Y18" s="15" t="e">
        <f t="shared" ref="Y18:Y19" si="84">(X18/W18-1)*100</f>
        <v>#DIV/0!</v>
      </c>
      <c r="Z18" s="23">
        <f>AC18-W18</f>
        <v>0</v>
      </c>
      <c r="AA18" s="22">
        <f>AD18-X18</f>
        <v>0</v>
      </c>
      <c r="AB18" s="15" t="e">
        <f t="shared" ref="AB18:AB19" si="85">(AA18/Z18-1)*100</f>
        <v>#DIV/0!</v>
      </c>
      <c r="AC18" s="22">
        <v>0</v>
      </c>
      <c r="AD18" s="22">
        <v>0</v>
      </c>
      <c r="AE18" s="15" t="e">
        <f t="shared" ref="AE18:AE19" si="86">(AD18/AC18-1)*100</f>
        <v>#DIV/0!</v>
      </c>
      <c r="AF18" s="23">
        <f>AI18-AC18</f>
        <v>0</v>
      </c>
      <c r="AG18" s="22">
        <f>AJ18-AD18</f>
        <v>0</v>
      </c>
      <c r="AH18" s="15" t="e">
        <f t="shared" ref="AH18:AH19" si="87">(AG18/AF18-1)*100</f>
        <v>#DIV/0!</v>
      </c>
      <c r="AI18" s="22">
        <v>0</v>
      </c>
      <c r="AJ18" s="22">
        <v>0</v>
      </c>
      <c r="AK18" s="15" t="e">
        <f t="shared" ref="AK18:AK19" si="88">(AJ18/AI18-1)*100</f>
        <v>#DIV/0!</v>
      </c>
      <c r="AL18" s="23">
        <f>AO18-AI18</f>
        <v>0</v>
      </c>
      <c r="AM18" s="22">
        <f>AP18-AJ18</f>
        <v>0</v>
      </c>
      <c r="AN18" s="15" t="e">
        <f t="shared" ref="AN18:AN19" si="89">(AM18/AL18-1)*100</f>
        <v>#DIV/0!</v>
      </c>
      <c r="AO18" s="22">
        <v>0</v>
      </c>
      <c r="AP18" s="22">
        <v>0</v>
      </c>
      <c r="AQ18" s="15" t="e">
        <f t="shared" ref="AQ18:AQ19" si="90">(AP18/AO18-1)*100</f>
        <v>#DIV/0!</v>
      </c>
      <c r="AR18" s="23">
        <f>AU18-AO18</f>
        <v>0</v>
      </c>
      <c r="AS18" s="22">
        <f>AV18-AP18</f>
        <v>0</v>
      </c>
      <c r="AT18" s="15" t="e">
        <f t="shared" ref="AT18:AT19" si="91">(AS18/AR18-1)*100</f>
        <v>#DIV/0!</v>
      </c>
      <c r="AU18" s="22">
        <v>0</v>
      </c>
      <c r="AV18" s="22">
        <v>0</v>
      </c>
      <c r="AW18" s="15" t="e">
        <f t="shared" ref="AW18:AW19" si="92">(AV18/AU18-1)*100</f>
        <v>#DIV/0!</v>
      </c>
      <c r="AX18" s="23">
        <f>BA18-AU18</f>
        <v>0</v>
      </c>
      <c r="AY18" s="22">
        <f>BB18-AV18</f>
        <v>0</v>
      </c>
      <c r="AZ18" s="15" t="e">
        <f t="shared" ref="AZ18:AZ19" si="93">(AY18/AX18-1)*100</f>
        <v>#DIV/0!</v>
      </c>
      <c r="BA18" s="22">
        <v>0</v>
      </c>
      <c r="BB18" s="22">
        <v>0</v>
      </c>
      <c r="BC18" s="15" t="e">
        <f t="shared" ref="BC18:BC19" si="94">(BB18/BA18-1)*100</f>
        <v>#DIV/0!</v>
      </c>
      <c r="BD18" s="23">
        <f>BG18-BA18</f>
        <v>0</v>
      </c>
      <c r="BE18" s="22">
        <f>BH18-BB18</f>
        <v>0</v>
      </c>
      <c r="BF18" s="15" t="e">
        <f t="shared" ref="BF18:BF19" si="95">(BE18/BD18-1)*100</f>
        <v>#DIV/0!</v>
      </c>
      <c r="BG18" s="22">
        <v>0</v>
      </c>
      <c r="BH18" s="22">
        <v>0</v>
      </c>
      <c r="BI18" s="15" t="e">
        <f t="shared" ref="BI18:BI19" si="96">(BH18/BG18-1)*100</f>
        <v>#DIV/0!</v>
      </c>
      <c r="BJ18" s="23">
        <f>BM18-BG18</f>
        <v>0</v>
      </c>
      <c r="BK18" s="22">
        <f>BN18-BH18</f>
        <v>0</v>
      </c>
      <c r="BL18" s="15" t="e">
        <f t="shared" ref="BL18:BL19" si="97">(BK18/BJ18-1)*100</f>
        <v>#DIV/0!</v>
      </c>
      <c r="BM18" s="22">
        <v>0</v>
      </c>
      <c r="BN18" s="22">
        <v>0</v>
      </c>
      <c r="BO18" s="15" t="e">
        <f t="shared" ref="BO18:BO19" si="98">(BN18/BM18-1)*100</f>
        <v>#DIV/0!</v>
      </c>
      <c r="BP18" s="23">
        <f>BS18-BM18</f>
        <v>0</v>
      </c>
      <c r="BQ18" s="22">
        <f>BT18-BN18</f>
        <v>0</v>
      </c>
      <c r="BR18" s="15" t="e">
        <f t="shared" ref="BR18:BR19" si="99">(BQ18/BP18-1)*100</f>
        <v>#DIV/0!</v>
      </c>
      <c r="BS18" s="22">
        <v>0</v>
      </c>
      <c r="BT18" s="22">
        <v>0</v>
      </c>
      <c r="BU18" s="15" t="e">
        <f t="shared" ref="BU18:BU19" si="100">(BT18/BS18-1)*100</f>
        <v>#DIV/0!</v>
      </c>
      <c r="BV18" s="23">
        <f>BY18-BS18</f>
        <v>1</v>
      </c>
      <c r="BW18" s="22">
        <f>BZ18-BT18</f>
        <v>0</v>
      </c>
      <c r="BX18" s="15">
        <f t="shared" ref="BX18:BX19" si="101">(BW18/BV18-1)*100</f>
        <v>-100</v>
      </c>
      <c r="BY18" s="22">
        <v>1</v>
      </c>
      <c r="BZ18" s="22">
        <v>0</v>
      </c>
      <c r="CA18" s="15">
        <f t="shared" ref="CA18:CA19" si="102">(BZ18/BY18-1)*100</f>
        <v>-100</v>
      </c>
      <c r="CB18" s="6"/>
    </row>
    <row r="19" spans="1:80" s="1" customFormat="1" ht="19.5" customHeight="1">
      <c r="A19" s="152"/>
      <c r="B19" s="120"/>
      <c r="C19" s="33" t="s">
        <v>104</v>
      </c>
      <c r="D19" s="17">
        <v>8233</v>
      </c>
      <c r="E19" s="17">
        <v>4345</v>
      </c>
      <c r="F19" s="17">
        <v>7114</v>
      </c>
      <c r="G19" s="17">
        <v>5036</v>
      </c>
      <c r="H19" s="17">
        <v>0</v>
      </c>
      <c r="I19" s="17">
        <v>0</v>
      </c>
      <c r="J19" s="17">
        <v>138</v>
      </c>
      <c r="K19" s="17">
        <v>0</v>
      </c>
      <c r="L19" s="17">
        <v>0</v>
      </c>
      <c r="M19" s="44" t="e">
        <f t="shared" si="0"/>
        <v>#DIV/0!</v>
      </c>
      <c r="N19" s="14">
        <f>Q19-K19</f>
        <v>0</v>
      </c>
      <c r="O19" s="14">
        <f>R19-L19</f>
        <v>0</v>
      </c>
      <c r="P19" s="18" t="e">
        <f t="shared" si="1"/>
        <v>#DIV/0!</v>
      </c>
      <c r="Q19" s="17">
        <v>0</v>
      </c>
      <c r="R19" s="17">
        <v>0</v>
      </c>
      <c r="S19" s="18" t="e">
        <f t="shared" si="2"/>
        <v>#DIV/0!</v>
      </c>
      <c r="T19" s="14">
        <f>W19-Q19</f>
        <v>0</v>
      </c>
      <c r="U19" s="14">
        <f>X19-R19</f>
        <v>0</v>
      </c>
      <c r="V19" s="18" t="e">
        <f t="shared" si="83"/>
        <v>#DIV/0!</v>
      </c>
      <c r="W19" s="17">
        <v>0</v>
      </c>
      <c r="X19" s="17">
        <v>0</v>
      </c>
      <c r="Y19" s="18" t="e">
        <f t="shared" si="84"/>
        <v>#DIV/0!</v>
      </c>
      <c r="Z19" s="14">
        <f>AC19-W19</f>
        <v>0</v>
      </c>
      <c r="AA19" s="14">
        <f>AD19-X19</f>
        <v>0</v>
      </c>
      <c r="AB19" s="18" t="e">
        <f t="shared" si="85"/>
        <v>#DIV/0!</v>
      </c>
      <c r="AC19" s="17">
        <v>0</v>
      </c>
      <c r="AD19" s="17">
        <v>0</v>
      </c>
      <c r="AE19" s="18" t="e">
        <f t="shared" si="86"/>
        <v>#DIV/0!</v>
      </c>
      <c r="AF19" s="14">
        <f>AI19-AC19</f>
        <v>0</v>
      </c>
      <c r="AG19" s="14">
        <f>AJ19-AD19</f>
        <v>0</v>
      </c>
      <c r="AH19" s="18" t="e">
        <f t="shared" si="87"/>
        <v>#DIV/0!</v>
      </c>
      <c r="AI19" s="17">
        <v>0</v>
      </c>
      <c r="AJ19" s="17">
        <v>0</v>
      </c>
      <c r="AK19" s="18" t="e">
        <f t="shared" si="88"/>
        <v>#DIV/0!</v>
      </c>
      <c r="AL19" s="14">
        <f>AO19-AI19</f>
        <v>0</v>
      </c>
      <c r="AM19" s="14">
        <f>AP19-AJ19</f>
        <v>412</v>
      </c>
      <c r="AN19" s="18" t="e">
        <f t="shared" si="89"/>
        <v>#DIV/0!</v>
      </c>
      <c r="AO19" s="17">
        <v>0</v>
      </c>
      <c r="AP19" s="17">
        <v>412</v>
      </c>
      <c r="AQ19" s="18" t="e">
        <f t="shared" si="90"/>
        <v>#DIV/0!</v>
      </c>
      <c r="AR19" s="14">
        <f>AU19-AO19</f>
        <v>0</v>
      </c>
      <c r="AS19" s="14">
        <f>AV19-AP19</f>
        <v>68</v>
      </c>
      <c r="AT19" s="18" t="e">
        <f t="shared" si="91"/>
        <v>#DIV/0!</v>
      </c>
      <c r="AU19" s="17">
        <v>0</v>
      </c>
      <c r="AV19" s="17">
        <v>480</v>
      </c>
      <c r="AW19" s="18" t="e">
        <f t="shared" si="92"/>
        <v>#DIV/0!</v>
      </c>
      <c r="AX19" s="14">
        <f>BA19-AU19</f>
        <v>0</v>
      </c>
      <c r="AY19" s="14">
        <f>BB19-AV19</f>
        <v>0</v>
      </c>
      <c r="AZ19" s="18" t="e">
        <f t="shared" si="93"/>
        <v>#DIV/0!</v>
      </c>
      <c r="BA19" s="17">
        <v>0</v>
      </c>
      <c r="BB19" s="17">
        <v>480</v>
      </c>
      <c r="BC19" s="18" t="e">
        <f t="shared" si="94"/>
        <v>#DIV/0!</v>
      </c>
      <c r="BD19" s="14">
        <f>BG19-BA19</f>
        <v>0</v>
      </c>
      <c r="BE19" s="14">
        <f>BH19-BB19</f>
        <v>399</v>
      </c>
      <c r="BF19" s="18" t="e">
        <f t="shared" si="95"/>
        <v>#DIV/0!</v>
      </c>
      <c r="BG19" s="17">
        <v>0</v>
      </c>
      <c r="BH19" s="17">
        <v>879</v>
      </c>
      <c r="BI19" s="18" t="e">
        <f t="shared" si="96"/>
        <v>#DIV/0!</v>
      </c>
      <c r="BJ19" s="14">
        <f>BM19-BG19</f>
        <v>0</v>
      </c>
      <c r="BK19" s="14">
        <f>BN19-BH19</f>
        <v>0</v>
      </c>
      <c r="BL19" s="18" t="e">
        <f t="shared" si="97"/>
        <v>#DIV/0!</v>
      </c>
      <c r="BM19" s="17">
        <v>0</v>
      </c>
      <c r="BN19" s="17">
        <v>879</v>
      </c>
      <c r="BO19" s="18" t="e">
        <f t="shared" si="98"/>
        <v>#DIV/0!</v>
      </c>
      <c r="BP19" s="14">
        <f>BS19-BM19</f>
        <v>0</v>
      </c>
      <c r="BQ19" s="14">
        <f>BT19-BN19</f>
        <v>0</v>
      </c>
      <c r="BR19" s="18" t="e">
        <f t="shared" si="99"/>
        <v>#DIV/0!</v>
      </c>
      <c r="BS19" s="17">
        <v>0</v>
      </c>
      <c r="BT19" s="17">
        <v>879</v>
      </c>
      <c r="BU19" s="18" t="e">
        <f t="shared" si="100"/>
        <v>#DIV/0!</v>
      </c>
      <c r="BV19" s="14">
        <f>BY19-BS19</f>
        <v>138</v>
      </c>
      <c r="BW19" s="14">
        <f>BZ19-BT19</f>
        <v>0</v>
      </c>
      <c r="BX19" s="18">
        <f t="shared" si="101"/>
        <v>-100</v>
      </c>
      <c r="BY19" s="17">
        <v>138</v>
      </c>
      <c r="BZ19" s="17">
        <v>879</v>
      </c>
      <c r="CA19" s="18">
        <f t="shared" si="102"/>
        <v>536.95652173913049</v>
      </c>
      <c r="CB19" s="6"/>
    </row>
    <row r="20" spans="1:80" s="1" customFormat="1" ht="19.5" customHeight="1" thickBot="1">
      <c r="A20" s="153"/>
      <c r="B20" s="121"/>
      <c r="C20" s="34" t="s">
        <v>105</v>
      </c>
      <c r="D20" s="19">
        <f t="shared" ref="D20:L20" si="103">D19/D18</f>
        <v>147.01785714285714</v>
      </c>
      <c r="E20" s="19">
        <f t="shared" si="103"/>
        <v>124.14285714285714</v>
      </c>
      <c r="F20" s="19">
        <f t="shared" si="103"/>
        <v>273.61538461538464</v>
      </c>
      <c r="G20" s="19">
        <f t="shared" si="103"/>
        <v>201.44</v>
      </c>
      <c r="H20" s="20" t="e">
        <f>H19/H18</f>
        <v>#DIV/0!</v>
      </c>
      <c r="I20" s="20" t="e">
        <f>I19/I18</f>
        <v>#DIV/0!</v>
      </c>
      <c r="J20" s="20">
        <f>J19/J18</f>
        <v>138</v>
      </c>
      <c r="K20" s="20" t="e">
        <f t="shared" si="103"/>
        <v>#DIV/0!</v>
      </c>
      <c r="L20" s="20" t="e">
        <f t="shared" si="103"/>
        <v>#DIV/0!</v>
      </c>
      <c r="M20" s="46"/>
      <c r="N20" s="20" t="e">
        <f>N19/N18</f>
        <v>#DIV/0!</v>
      </c>
      <c r="O20" s="20" t="e">
        <f>O19/O18</f>
        <v>#DIV/0!</v>
      </c>
      <c r="P20" s="47"/>
      <c r="Q20" s="20" t="e">
        <f>Q19/Q18</f>
        <v>#DIV/0!</v>
      </c>
      <c r="R20" s="20" t="e">
        <f>R19/R18</f>
        <v>#DIV/0!</v>
      </c>
      <c r="S20" s="47"/>
      <c r="T20" s="20" t="e">
        <f>T19/T18</f>
        <v>#DIV/0!</v>
      </c>
      <c r="U20" s="20" t="e">
        <f>U19/U18</f>
        <v>#DIV/0!</v>
      </c>
      <c r="V20" s="47"/>
      <c r="W20" s="20" t="e">
        <f>W19/W18</f>
        <v>#DIV/0!</v>
      </c>
      <c r="X20" s="20" t="e">
        <f>X19/X18</f>
        <v>#DIV/0!</v>
      </c>
      <c r="Y20" s="47"/>
      <c r="Z20" s="20" t="e">
        <f>Z19/Z18</f>
        <v>#DIV/0!</v>
      </c>
      <c r="AA20" s="20" t="e">
        <f>AA19/AA18</f>
        <v>#DIV/0!</v>
      </c>
      <c r="AB20" s="47"/>
      <c r="AC20" s="20" t="e">
        <f>AC19/AC18</f>
        <v>#DIV/0!</v>
      </c>
      <c r="AD20" s="20" t="e">
        <f>AD19/AD18</f>
        <v>#DIV/0!</v>
      </c>
      <c r="AE20" s="47"/>
      <c r="AF20" s="20" t="e">
        <f>AF19/AF18</f>
        <v>#DIV/0!</v>
      </c>
      <c r="AG20" s="20" t="e">
        <f>AG19/AG18</f>
        <v>#DIV/0!</v>
      </c>
      <c r="AH20" s="47"/>
      <c r="AI20" s="20" t="e">
        <f>AI19/AI18</f>
        <v>#DIV/0!</v>
      </c>
      <c r="AJ20" s="20" t="e">
        <f>AJ19/AJ18</f>
        <v>#DIV/0!</v>
      </c>
      <c r="AK20" s="47"/>
      <c r="AL20" s="20" t="e">
        <f>AL19/AL18</f>
        <v>#DIV/0!</v>
      </c>
      <c r="AM20" s="20" t="e">
        <f>AM19/AM18</f>
        <v>#DIV/0!</v>
      </c>
      <c r="AN20" s="47"/>
      <c r="AO20" s="20" t="e">
        <f>AO19/AO18</f>
        <v>#DIV/0!</v>
      </c>
      <c r="AP20" s="20" t="e">
        <f>AP19/AP18</f>
        <v>#DIV/0!</v>
      </c>
      <c r="AQ20" s="47"/>
      <c r="AR20" s="20" t="e">
        <f>AR19/AR18</f>
        <v>#DIV/0!</v>
      </c>
      <c r="AS20" s="20" t="e">
        <f>AS19/AS18</f>
        <v>#DIV/0!</v>
      </c>
      <c r="AT20" s="47"/>
      <c r="AU20" s="20" t="e">
        <f>AU19/AU18</f>
        <v>#DIV/0!</v>
      </c>
      <c r="AV20" s="20" t="e">
        <f>AV19/AV18</f>
        <v>#DIV/0!</v>
      </c>
      <c r="AW20" s="47"/>
      <c r="AX20" s="20" t="e">
        <f>AX19/AX18</f>
        <v>#DIV/0!</v>
      </c>
      <c r="AY20" s="20" t="e">
        <f>AY19/AY18</f>
        <v>#DIV/0!</v>
      </c>
      <c r="AZ20" s="47"/>
      <c r="BA20" s="20" t="e">
        <f>BA19/BA18</f>
        <v>#DIV/0!</v>
      </c>
      <c r="BB20" s="20" t="e">
        <f>BB19/BB18</f>
        <v>#DIV/0!</v>
      </c>
      <c r="BC20" s="47"/>
      <c r="BD20" s="20" t="e">
        <f>BD19/BD18</f>
        <v>#DIV/0!</v>
      </c>
      <c r="BE20" s="20" t="e">
        <f>BE19/BE18</f>
        <v>#DIV/0!</v>
      </c>
      <c r="BF20" s="47"/>
      <c r="BG20" s="20" t="e">
        <f>BG19/BG18</f>
        <v>#DIV/0!</v>
      </c>
      <c r="BH20" s="20" t="e">
        <f>BH19/BH18</f>
        <v>#DIV/0!</v>
      </c>
      <c r="BI20" s="47"/>
      <c r="BJ20" s="20" t="e">
        <f>BJ19/BJ18</f>
        <v>#DIV/0!</v>
      </c>
      <c r="BK20" s="20" t="e">
        <f>BK19/BK18</f>
        <v>#DIV/0!</v>
      </c>
      <c r="BL20" s="47"/>
      <c r="BM20" s="20" t="e">
        <f>BM19/BM18</f>
        <v>#DIV/0!</v>
      </c>
      <c r="BN20" s="20" t="e">
        <f>BN19/BN18</f>
        <v>#DIV/0!</v>
      </c>
      <c r="BO20" s="47"/>
      <c r="BP20" s="20" t="e">
        <f>BP19/BP18</f>
        <v>#DIV/0!</v>
      </c>
      <c r="BQ20" s="20" t="e">
        <f>BQ19/BQ18</f>
        <v>#DIV/0!</v>
      </c>
      <c r="BR20" s="47"/>
      <c r="BS20" s="20" t="e">
        <f>BS19/BS18</f>
        <v>#DIV/0!</v>
      </c>
      <c r="BT20" s="20" t="e">
        <f>BT19/BT18</f>
        <v>#DIV/0!</v>
      </c>
      <c r="BU20" s="47"/>
      <c r="BV20" s="20">
        <f>BV19/BV18</f>
        <v>138</v>
      </c>
      <c r="BW20" s="20" t="e">
        <f>BW19/BW18</f>
        <v>#DIV/0!</v>
      </c>
      <c r="BX20" s="47"/>
      <c r="BY20" s="20">
        <f>BY19/BY18</f>
        <v>138</v>
      </c>
      <c r="BZ20" s="20" t="e">
        <f>BZ19/BZ18</f>
        <v>#DIV/0!</v>
      </c>
      <c r="CA20" s="47"/>
      <c r="CB20" s="6"/>
    </row>
    <row r="21" spans="1:80" s="1" customFormat="1" ht="19.5" customHeight="1">
      <c r="A21" s="164" t="s">
        <v>86</v>
      </c>
      <c r="B21" s="114" t="s">
        <v>28</v>
      </c>
      <c r="C21" s="32" t="s">
        <v>42</v>
      </c>
      <c r="D21" s="22">
        <v>0</v>
      </c>
      <c r="E21" s="22">
        <v>50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43" t="e">
        <f t="shared" si="0"/>
        <v>#DIV/0!</v>
      </c>
      <c r="N21" s="23">
        <f>Q21-K21</f>
        <v>0</v>
      </c>
      <c r="O21" s="22">
        <f>R21-L21</f>
        <v>0</v>
      </c>
      <c r="P21" s="15" t="e">
        <f t="shared" si="1"/>
        <v>#DIV/0!</v>
      </c>
      <c r="Q21" s="22">
        <v>0</v>
      </c>
      <c r="R21" s="22">
        <v>0</v>
      </c>
      <c r="S21" s="15" t="e">
        <f t="shared" si="2"/>
        <v>#DIV/0!</v>
      </c>
      <c r="T21" s="23">
        <f>W21-Q21</f>
        <v>0</v>
      </c>
      <c r="U21" s="22">
        <f>X21-R21</f>
        <v>0</v>
      </c>
      <c r="V21" s="15" t="e">
        <f t="shared" ref="V21:V22" si="104">(U21/T21-1)*100</f>
        <v>#DIV/0!</v>
      </c>
      <c r="W21" s="22">
        <v>0</v>
      </c>
      <c r="X21" s="22">
        <v>0</v>
      </c>
      <c r="Y21" s="15" t="e">
        <f t="shared" ref="Y21:Y22" si="105">(X21/W21-1)*100</f>
        <v>#DIV/0!</v>
      </c>
      <c r="Z21" s="23">
        <f>AC21-W21</f>
        <v>0</v>
      </c>
      <c r="AA21" s="22">
        <f>AD21-X21</f>
        <v>0</v>
      </c>
      <c r="AB21" s="15" t="e">
        <f t="shared" ref="AB21:AB22" si="106">(AA21/Z21-1)*100</f>
        <v>#DIV/0!</v>
      </c>
      <c r="AC21" s="22">
        <v>0</v>
      </c>
      <c r="AD21" s="22">
        <v>0</v>
      </c>
      <c r="AE21" s="15" t="e">
        <f t="shared" ref="AE21:AE22" si="107">(AD21/AC21-1)*100</f>
        <v>#DIV/0!</v>
      </c>
      <c r="AF21" s="23">
        <f>AI21-AC21</f>
        <v>0</v>
      </c>
      <c r="AG21" s="22">
        <f>AJ21-AD21</f>
        <v>0</v>
      </c>
      <c r="AH21" s="15" t="e">
        <f t="shared" ref="AH21:AH22" si="108">(AG21/AF21-1)*100</f>
        <v>#DIV/0!</v>
      </c>
      <c r="AI21" s="22">
        <v>0</v>
      </c>
      <c r="AJ21" s="22">
        <v>0</v>
      </c>
      <c r="AK21" s="15" t="e">
        <f t="shared" ref="AK21:AK22" si="109">(AJ21/AI21-1)*100</f>
        <v>#DIV/0!</v>
      </c>
      <c r="AL21" s="23">
        <f>AO21-AI21</f>
        <v>0</v>
      </c>
      <c r="AM21" s="22">
        <f>AP21-AJ21</f>
        <v>0</v>
      </c>
      <c r="AN21" s="15" t="e">
        <f t="shared" ref="AN21:AN22" si="110">(AM21/AL21-1)*100</f>
        <v>#DIV/0!</v>
      </c>
      <c r="AO21" s="22">
        <v>0</v>
      </c>
      <c r="AP21" s="22">
        <v>0</v>
      </c>
      <c r="AQ21" s="15" t="e">
        <f t="shared" ref="AQ21:AQ22" si="111">(AP21/AO21-1)*100</f>
        <v>#DIV/0!</v>
      </c>
      <c r="AR21" s="23">
        <f>AU21-AO21</f>
        <v>0</v>
      </c>
      <c r="AS21" s="22">
        <f>AV21-AP21</f>
        <v>0</v>
      </c>
      <c r="AT21" s="15" t="e">
        <f t="shared" ref="AT21:AT22" si="112">(AS21/AR21-1)*100</f>
        <v>#DIV/0!</v>
      </c>
      <c r="AU21" s="22">
        <v>0</v>
      </c>
      <c r="AV21" s="22">
        <v>0</v>
      </c>
      <c r="AW21" s="15" t="e">
        <f t="shared" ref="AW21:AW22" si="113">(AV21/AU21-1)*100</f>
        <v>#DIV/0!</v>
      </c>
      <c r="AX21" s="23">
        <f>BA21-AU21</f>
        <v>0</v>
      </c>
      <c r="AY21" s="22">
        <f>BB21-AV21</f>
        <v>0</v>
      </c>
      <c r="AZ21" s="15" t="e">
        <f t="shared" ref="AZ21:AZ22" si="114">(AY21/AX21-1)*100</f>
        <v>#DIV/0!</v>
      </c>
      <c r="BA21" s="22">
        <v>0</v>
      </c>
      <c r="BB21" s="22">
        <v>0</v>
      </c>
      <c r="BC21" s="15" t="e">
        <f t="shared" ref="BC21:BC22" si="115">(BB21/BA21-1)*100</f>
        <v>#DIV/0!</v>
      </c>
      <c r="BD21" s="23">
        <f>BG21-BA21</f>
        <v>0</v>
      </c>
      <c r="BE21" s="22">
        <f>BH21-BB21</f>
        <v>0</v>
      </c>
      <c r="BF21" s="15" t="e">
        <f t="shared" ref="BF21:BF22" si="116">(BE21/BD21-1)*100</f>
        <v>#DIV/0!</v>
      </c>
      <c r="BG21" s="22">
        <v>0</v>
      </c>
      <c r="BH21" s="22">
        <v>0</v>
      </c>
      <c r="BI21" s="15" t="e">
        <f t="shared" ref="BI21:BI22" si="117">(BH21/BG21-1)*100</f>
        <v>#DIV/0!</v>
      </c>
      <c r="BJ21" s="23">
        <f>BM21-BG21</f>
        <v>0</v>
      </c>
      <c r="BK21" s="22">
        <f>BN21-BH21</f>
        <v>0</v>
      </c>
      <c r="BL21" s="15" t="e">
        <f t="shared" ref="BL21:BL22" si="118">(BK21/BJ21-1)*100</f>
        <v>#DIV/0!</v>
      </c>
      <c r="BM21" s="22">
        <v>0</v>
      </c>
      <c r="BN21" s="22">
        <v>0</v>
      </c>
      <c r="BO21" s="15" t="e">
        <f t="shared" ref="BO21:BO22" si="119">(BN21/BM21-1)*100</f>
        <v>#DIV/0!</v>
      </c>
      <c r="BP21" s="23">
        <f>BS21-BM21</f>
        <v>0</v>
      </c>
      <c r="BQ21" s="22">
        <f>BT21-BN21</f>
        <v>0</v>
      </c>
      <c r="BR21" s="15" t="e">
        <f t="shared" ref="BR21:BR22" si="120">(BQ21/BP21-1)*100</f>
        <v>#DIV/0!</v>
      </c>
      <c r="BS21" s="22">
        <v>0</v>
      </c>
      <c r="BT21" s="22">
        <v>0</v>
      </c>
      <c r="BU21" s="15" t="e">
        <f t="shared" ref="BU21:BU22" si="121">(BT21/BS21-1)*100</f>
        <v>#DIV/0!</v>
      </c>
      <c r="BV21" s="23">
        <f>BY21-BS21</f>
        <v>0</v>
      </c>
      <c r="BW21" s="22">
        <f>BZ21-BT21</f>
        <v>0</v>
      </c>
      <c r="BX21" s="15" t="e">
        <f t="shared" ref="BX21:BX22" si="122">(BW21/BV21-1)*100</f>
        <v>#DIV/0!</v>
      </c>
      <c r="BY21" s="22">
        <v>0</v>
      </c>
      <c r="BZ21" s="22">
        <v>0</v>
      </c>
      <c r="CA21" s="15" t="e">
        <f t="shared" ref="CA21:CA22" si="123">(BZ21/BY21-1)*100</f>
        <v>#DIV/0!</v>
      </c>
      <c r="CB21" s="6"/>
    </row>
    <row r="22" spans="1:80" s="1" customFormat="1" ht="19.5" customHeight="1">
      <c r="A22" s="152"/>
      <c r="B22" s="120"/>
      <c r="C22" s="33" t="s">
        <v>104</v>
      </c>
      <c r="D22" s="17">
        <v>0</v>
      </c>
      <c r="E22" s="17">
        <v>51600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44" t="e">
        <f t="shared" si="0"/>
        <v>#DIV/0!</v>
      </c>
      <c r="N22" s="14">
        <f>Q22-K22</f>
        <v>0</v>
      </c>
      <c r="O22" s="14">
        <f>R22-L22</f>
        <v>0</v>
      </c>
      <c r="P22" s="18" t="e">
        <f t="shared" si="1"/>
        <v>#DIV/0!</v>
      </c>
      <c r="Q22" s="17">
        <v>0</v>
      </c>
      <c r="R22" s="17">
        <v>0</v>
      </c>
      <c r="S22" s="18" t="e">
        <f t="shared" si="2"/>
        <v>#DIV/0!</v>
      </c>
      <c r="T22" s="14">
        <f>W22-Q22</f>
        <v>0</v>
      </c>
      <c r="U22" s="14">
        <f>X22-R22</f>
        <v>0</v>
      </c>
      <c r="V22" s="18" t="e">
        <f t="shared" si="104"/>
        <v>#DIV/0!</v>
      </c>
      <c r="W22" s="17">
        <v>0</v>
      </c>
      <c r="X22" s="17">
        <v>0</v>
      </c>
      <c r="Y22" s="18" t="e">
        <f t="shared" si="105"/>
        <v>#DIV/0!</v>
      </c>
      <c r="Z22" s="14">
        <f>AC22-W22</f>
        <v>0</v>
      </c>
      <c r="AA22" s="14">
        <f>AD22-X22</f>
        <v>0</v>
      </c>
      <c r="AB22" s="18" t="e">
        <f t="shared" si="106"/>
        <v>#DIV/0!</v>
      </c>
      <c r="AC22" s="17">
        <v>0</v>
      </c>
      <c r="AD22" s="17">
        <v>0</v>
      </c>
      <c r="AE22" s="18" t="e">
        <f t="shared" si="107"/>
        <v>#DIV/0!</v>
      </c>
      <c r="AF22" s="14">
        <f>AI22-AC22</f>
        <v>0</v>
      </c>
      <c r="AG22" s="14">
        <f>AJ22-AD22</f>
        <v>0</v>
      </c>
      <c r="AH22" s="18" t="e">
        <f t="shared" si="108"/>
        <v>#DIV/0!</v>
      </c>
      <c r="AI22" s="17">
        <v>0</v>
      </c>
      <c r="AJ22" s="17">
        <v>0</v>
      </c>
      <c r="AK22" s="18" t="e">
        <f t="shared" si="109"/>
        <v>#DIV/0!</v>
      </c>
      <c r="AL22" s="14">
        <f>AO22-AI22</f>
        <v>0</v>
      </c>
      <c r="AM22" s="14">
        <f>AP22-AJ22</f>
        <v>0</v>
      </c>
      <c r="AN22" s="18" t="e">
        <f t="shared" si="110"/>
        <v>#DIV/0!</v>
      </c>
      <c r="AO22" s="17">
        <v>0</v>
      </c>
      <c r="AP22" s="17">
        <v>0</v>
      </c>
      <c r="AQ22" s="18" t="e">
        <f t="shared" si="111"/>
        <v>#DIV/0!</v>
      </c>
      <c r="AR22" s="14">
        <f>AU22-AO22</f>
        <v>0</v>
      </c>
      <c r="AS22" s="14">
        <f>AV22-AP22</f>
        <v>0</v>
      </c>
      <c r="AT22" s="18" t="e">
        <f t="shared" si="112"/>
        <v>#DIV/0!</v>
      </c>
      <c r="AU22" s="17">
        <v>0</v>
      </c>
      <c r="AV22" s="17">
        <v>0</v>
      </c>
      <c r="AW22" s="18" t="e">
        <f t="shared" si="113"/>
        <v>#DIV/0!</v>
      </c>
      <c r="AX22" s="14">
        <f>BA22-AU22</f>
        <v>0</v>
      </c>
      <c r="AY22" s="14">
        <f>BB22-AV22</f>
        <v>0</v>
      </c>
      <c r="AZ22" s="18" t="e">
        <f t="shared" si="114"/>
        <v>#DIV/0!</v>
      </c>
      <c r="BA22" s="17">
        <v>0</v>
      </c>
      <c r="BB22" s="17">
        <v>0</v>
      </c>
      <c r="BC22" s="18" t="e">
        <f t="shared" si="115"/>
        <v>#DIV/0!</v>
      </c>
      <c r="BD22" s="14">
        <f>BG22-BA22</f>
        <v>0</v>
      </c>
      <c r="BE22" s="14">
        <f>BH22-BB22</f>
        <v>0</v>
      </c>
      <c r="BF22" s="18" t="e">
        <f t="shared" si="116"/>
        <v>#DIV/0!</v>
      </c>
      <c r="BG22" s="17">
        <v>0</v>
      </c>
      <c r="BH22" s="17">
        <v>0</v>
      </c>
      <c r="BI22" s="18" t="e">
        <f t="shared" si="117"/>
        <v>#DIV/0!</v>
      </c>
      <c r="BJ22" s="14">
        <f>BM22-BG22</f>
        <v>0</v>
      </c>
      <c r="BK22" s="14">
        <f>BN22-BH22</f>
        <v>0</v>
      </c>
      <c r="BL22" s="18" t="e">
        <f t="shared" si="118"/>
        <v>#DIV/0!</v>
      </c>
      <c r="BM22" s="17">
        <v>0</v>
      </c>
      <c r="BN22" s="17">
        <v>0</v>
      </c>
      <c r="BO22" s="18" t="e">
        <f t="shared" si="119"/>
        <v>#DIV/0!</v>
      </c>
      <c r="BP22" s="14">
        <f>BS22-BM22</f>
        <v>0</v>
      </c>
      <c r="BQ22" s="14">
        <f>BT22-BN22</f>
        <v>0</v>
      </c>
      <c r="BR22" s="18" t="e">
        <f t="shared" si="120"/>
        <v>#DIV/0!</v>
      </c>
      <c r="BS22" s="17">
        <v>0</v>
      </c>
      <c r="BT22" s="17">
        <v>0</v>
      </c>
      <c r="BU22" s="18" t="e">
        <f t="shared" si="121"/>
        <v>#DIV/0!</v>
      </c>
      <c r="BV22" s="14">
        <f>BY22-BS22</f>
        <v>0</v>
      </c>
      <c r="BW22" s="14">
        <f>BZ22-BT22</f>
        <v>0</v>
      </c>
      <c r="BX22" s="18" t="e">
        <f t="shared" si="122"/>
        <v>#DIV/0!</v>
      </c>
      <c r="BY22" s="17">
        <v>0</v>
      </c>
      <c r="BZ22" s="17">
        <v>0</v>
      </c>
      <c r="CA22" s="18" t="e">
        <f t="shared" si="123"/>
        <v>#DIV/0!</v>
      </c>
      <c r="CB22" s="6"/>
    </row>
    <row r="23" spans="1:80" s="1" customFormat="1" ht="19.5" customHeight="1" thickBot="1">
      <c r="A23" s="153"/>
      <c r="B23" s="121"/>
      <c r="C23" s="34" t="s">
        <v>105</v>
      </c>
      <c r="D23" s="19" t="e">
        <f t="shared" ref="D23:L23" si="124">D22/D21</f>
        <v>#DIV/0!</v>
      </c>
      <c r="E23" s="19">
        <f t="shared" si="124"/>
        <v>1032</v>
      </c>
      <c r="F23" s="19" t="e">
        <f t="shared" si="124"/>
        <v>#DIV/0!</v>
      </c>
      <c r="G23" s="19" t="e">
        <f t="shared" si="124"/>
        <v>#DIV/0!</v>
      </c>
      <c r="H23" s="20" t="e">
        <f>H22/H21</f>
        <v>#DIV/0!</v>
      </c>
      <c r="I23" s="20" t="e">
        <f>I22/I21</f>
        <v>#DIV/0!</v>
      </c>
      <c r="J23" s="20" t="e">
        <f>J22/J21</f>
        <v>#DIV/0!</v>
      </c>
      <c r="K23" s="20" t="e">
        <f t="shared" si="124"/>
        <v>#DIV/0!</v>
      </c>
      <c r="L23" s="20" t="e">
        <f t="shared" si="124"/>
        <v>#DIV/0!</v>
      </c>
      <c r="M23" s="46"/>
      <c r="N23" s="20" t="e">
        <f>N22/N21</f>
        <v>#DIV/0!</v>
      </c>
      <c r="O23" s="20" t="e">
        <f>O22/O21</f>
        <v>#DIV/0!</v>
      </c>
      <c r="P23" s="47"/>
      <c r="Q23" s="20" t="e">
        <f>Q22/Q21</f>
        <v>#DIV/0!</v>
      </c>
      <c r="R23" s="20" t="e">
        <f>R22/R21</f>
        <v>#DIV/0!</v>
      </c>
      <c r="S23" s="47"/>
      <c r="T23" s="20" t="e">
        <f>T22/T21</f>
        <v>#DIV/0!</v>
      </c>
      <c r="U23" s="20" t="e">
        <f>U22/U21</f>
        <v>#DIV/0!</v>
      </c>
      <c r="V23" s="47"/>
      <c r="W23" s="20" t="e">
        <f>W22/W21</f>
        <v>#DIV/0!</v>
      </c>
      <c r="X23" s="20" t="e">
        <f>X22/X21</f>
        <v>#DIV/0!</v>
      </c>
      <c r="Y23" s="47"/>
      <c r="Z23" s="20" t="e">
        <f>Z22/Z21</f>
        <v>#DIV/0!</v>
      </c>
      <c r="AA23" s="20" t="e">
        <f>AA22/AA21</f>
        <v>#DIV/0!</v>
      </c>
      <c r="AB23" s="47"/>
      <c r="AC23" s="20" t="e">
        <f>AC22/AC21</f>
        <v>#DIV/0!</v>
      </c>
      <c r="AD23" s="20" t="e">
        <f>AD22/AD21</f>
        <v>#DIV/0!</v>
      </c>
      <c r="AE23" s="47"/>
      <c r="AF23" s="20" t="e">
        <f>AF22/AF21</f>
        <v>#DIV/0!</v>
      </c>
      <c r="AG23" s="20" t="e">
        <f>AG22/AG21</f>
        <v>#DIV/0!</v>
      </c>
      <c r="AH23" s="47"/>
      <c r="AI23" s="20" t="e">
        <f>AI22/AI21</f>
        <v>#DIV/0!</v>
      </c>
      <c r="AJ23" s="20" t="e">
        <f>AJ22/AJ21</f>
        <v>#DIV/0!</v>
      </c>
      <c r="AK23" s="47"/>
      <c r="AL23" s="20" t="e">
        <f>AL22/AL21</f>
        <v>#DIV/0!</v>
      </c>
      <c r="AM23" s="20" t="e">
        <f>AM22/AM21</f>
        <v>#DIV/0!</v>
      </c>
      <c r="AN23" s="47"/>
      <c r="AO23" s="20" t="e">
        <f>AO22/AO21</f>
        <v>#DIV/0!</v>
      </c>
      <c r="AP23" s="20" t="e">
        <f>AP22/AP21</f>
        <v>#DIV/0!</v>
      </c>
      <c r="AQ23" s="47"/>
      <c r="AR23" s="20" t="e">
        <f>AR22/AR21</f>
        <v>#DIV/0!</v>
      </c>
      <c r="AS23" s="20" t="e">
        <f>AS22/AS21</f>
        <v>#DIV/0!</v>
      </c>
      <c r="AT23" s="47"/>
      <c r="AU23" s="20" t="e">
        <f>AU22/AU21</f>
        <v>#DIV/0!</v>
      </c>
      <c r="AV23" s="20" t="e">
        <f>AV22/AV21</f>
        <v>#DIV/0!</v>
      </c>
      <c r="AW23" s="47"/>
      <c r="AX23" s="20" t="e">
        <f>AX22/AX21</f>
        <v>#DIV/0!</v>
      </c>
      <c r="AY23" s="20" t="e">
        <f>AY22/AY21</f>
        <v>#DIV/0!</v>
      </c>
      <c r="AZ23" s="47"/>
      <c r="BA23" s="20" t="e">
        <f>BA22/BA21</f>
        <v>#DIV/0!</v>
      </c>
      <c r="BB23" s="20" t="e">
        <f>BB22/BB21</f>
        <v>#DIV/0!</v>
      </c>
      <c r="BC23" s="47"/>
      <c r="BD23" s="20" t="e">
        <f>BD22/BD21</f>
        <v>#DIV/0!</v>
      </c>
      <c r="BE23" s="20" t="e">
        <f>BE22/BE21</f>
        <v>#DIV/0!</v>
      </c>
      <c r="BF23" s="47"/>
      <c r="BG23" s="20" t="e">
        <f>BG22/BG21</f>
        <v>#DIV/0!</v>
      </c>
      <c r="BH23" s="20" t="e">
        <f>BH22/BH21</f>
        <v>#DIV/0!</v>
      </c>
      <c r="BI23" s="47"/>
      <c r="BJ23" s="20" t="e">
        <f>BJ22/BJ21</f>
        <v>#DIV/0!</v>
      </c>
      <c r="BK23" s="20" t="e">
        <f>BK22/BK21</f>
        <v>#DIV/0!</v>
      </c>
      <c r="BL23" s="47"/>
      <c r="BM23" s="20" t="e">
        <f>BM22/BM21</f>
        <v>#DIV/0!</v>
      </c>
      <c r="BN23" s="20" t="e">
        <f>BN22/BN21</f>
        <v>#DIV/0!</v>
      </c>
      <c r="BO23" s="47"/>
      <c r="BP23" s="20" t="e">
        <f>BP22/BP21</f>
        <v>#DIV/0!</v>
      </c>
      <c r="BQ23" s="20" t="e">
        <f>BQ22/BQ21</f>
        <v>#DIV/0!</v>
      </c>
      <c r="BR23" s="47"/>
      <c r="BS23" s="20" t="e">
        <f>BS22/BS21</f>
        <v>#DIV/0!</v>
      </c>
      <c r="BT23" s="20" t="e">
        <f>BT22/BT21</f>
        <v>#DIV/0!</v>
      </c>
      <c r="BU23" s="47"/>
      <c r="BV23" s="20" t="e">
        <f>BV22/BV21</f>
        <v>#DIV/0!</v>
      </c>
      <c r="BW23" s="20" t="e">
        <f>BW22/BW21</f>
        <v>#DIV/0!</v>
      </c>
      <c r="BX23" s="47"/>
      <c r="BY23" s="20" t="e">
        <f>BY22/BY21</f>
        <v>#DIV/0!</v>
      </c>
      <c r="BZ23" s="20" t="e">
        <f>BZ22/BZ21</f>
        <v>#DIV/0!</v>
      </c>
      <c r="CA23" s="47"/>
      <c r="CB23" s="6"/>
    </row>
    <row r="24" spans="1:80" s="1" customFormat="1" ht="19.5" customHeight="1">
      <c r="A24" s="164" t="s">
        <v>87</v>
      </c>
      <c r="B24" s="114" t="s">
        <v>29</v>
      </c>
      <c r="C24" s="32" t="s">
        <v>42</v>
      </c>
      <c r="D24" s="22">
        <v>123</v>
      </c>
      <c r="E24" s="22">
        <v>1995</v>
      </c>
      <c r="F24" s="22">
        <v>11482</v>
      </c>
      <c r="G24" s="22">
        <v>9878</v>
      </c>
      <c r="H24" s="22">
        <v>17274</v>
      </c>
      <c r="I24" s="22">
        <v>13607</v>
      </c>
      <c r="J24" s="22">
        <v>14022</v>
      </c>
      <c r="K24" s="22">
        <v>0</v>
      </c>
      <c r="L24" s="22">
        <v>2640</v>
      </c>
      <c r="M24" s="43" t="e">
        <f t="shared" si="0"/>
        <v>#DIV/0!</v>
      </c>
      <c r="N24" s="23">
        <f>Q24-K24</f>
        <v>0</v>
      </c>
      <c r="O24" s="22">
        <f>R24-L24</f>
        <v>0</v>
      </c>
      <c r="P24" s="15" t="e">
        <f t="shared" si="1"/>
        <v>#DIV/0!</v>
      </c>
      <c r="Q24" s="22">
        <v>0</v>
      </c>
      <c r="R24" s="22">
        <v>2640</v>
      </c>
      <c r="S24" s="15" t="e">
        <f t="shared" si="2"/>
        <v>#DIV/0!</v>
      </c>
      <c r="T24" s="23">
        <f>W24-Q24</f>
        <v>2640</v>
      </c>
      <c r="U24" s="22">
        <f>X24-R24</f>
        <v>0</v>
      </c>
      <c r="V24" s="15">
        <f t="shared" ref="V24:V25" si="125">(U24/T24-1)*100</f>
        <v>-100</v>
      </c>
      <c r="W24" s="22">
        <v>2640</v>
      </c>
      <c r="X24" s="22">
        <v>2640</v>
      </c>
      <c r="Y24" s="15">
        <f t="shared" ref="Y24:Y25" si="126">(X24/W24-1)*100</f>
        <v>0</v>
      </c>
      <c r="Z24" s="23">
        <f>AC24-W24</f>
        <v>0</v>
      </c>
      <c r="AA24" s="22">
        <f>AD24-X24</f>
        <v>1760</v>
      </c>
      <c r="AB24" s="15" t="e">
        <f t="shared" ref="AB24:AB25" si="127">(AA24/Z24-1)*100</f>
        <v>#DIV/0!</v>
      </c>
      <c r="AC24" s="22">
        <v>2640</v>
      </c>
      <c r="AD24" s="22">
        <v>4400</v>
      </c>
      <c r="AE24" s="15">
        <f t="shared" ref="AE24:AE25" si="128">(AD24/AC24-1)*100</f>
        <v>66.666666666666671</v>
      </c>
      <c r="AF24" s="23">
        <f>AI24-AC24</f>
        <v>2640</v>
      </c>
      <c r="AG24" s="22">
        <f>AJ24-AD24</f>
        <v>2640</v>
      </c>
      <c r="AH24" s="15">
        <f t="shared" ref="AH24:AH25" si="129">(AG24/AF24-1)*100</f>
        <v>0</v>
      </c>
      <c r="AI24" s="22">
        <v>5280</v>
      </c>
      <c r="AJ24" s="22">
        <v>7040</v>
      </c>
      <c r="AK24" s="15">
        <f t="shared" ref="AK24:AK25" si="130">(AJ24/AI24-1)*100</f>
        <v>33.333333333333329</v>
      </c>
      <c r="AL24" s="23">
        <f>AO24-AI24</f>
        <v>0</v>
      </c>
      <c r="AM24" s="22">
        <f>AP24-AJ24</f>
        <v>250</v>
      </c>
      <c r="AN24" s="15" t="e">
        <f t="shared" ref="AN24:AN25" si="131">(AM24/AL24-1)*100</f>
        <v>#DIV/0!</v>
      </c>
      <c r="AO24" s="22">
        <v>5280</v>
      </c>
      <c r="AP24" s="22">
        <v>7290</v>
      </c>
      <c r="AQ24" s="15">
        <f t="shared" ref="AQ24:AQ25" si="132">(AP24/AO24-1)*100</f>
        <v>38.068181818181813</v>
      </c>
      <c r="AR24" s="23">
        <f>AU24-AO24</f>
        <v>2640</v>
      </c>
      <c r="AS24" s="22">
        <f>AV24-AP24</f>
        <v>2643</v>
      </c>
      <c r="AT24" s="15">
        <f t="shared" ref="AT24:AT25" si="133">(AS24/AR24-1)*100</f>
        <v>0.11363636363637131</v>
      </c>
      <c r="AU24" s="22">
        <v>7920</v>
      </c>
      <c r="AV24" s="22">
        <v>9933</v>
      </c>
      <c r="AW24" s="15">
        <f t="shared" ref="AW24:AW25" si="134">(AV24/AU24-1)*100</f>
        <v>25.416666666666664</v>
      </c>
      <c r="AX24" s="23">
        <f>BA24-AU24</f>
        <v>0</v>
      </c>
      <c r="AY24" s="22">
        <f>BB24-AV24</f>
        <v>0</v>
      </c>
      <c r="AZ24" s="15" t="e">
        <f t="shared" ref="AZ24:AZ25" si="135">(AY24/AX24-1)*100</f>
        <v>#DIV/0!</v>
      </c>
      <c r="BA24" s="22">
        <v>7920</v>
      </c>
      <c r="BB24" s="22">
        <v>9933</v>
      </c>
      <c r="BC24" s="15">
        <f t="shared" ref="BC24:BC25" si="136">(BB24/BA24-1)*100</f>
        <v>25.416666666666664</v>
      </c>
      <c r="BD24" s="23">
        <f>BG24-BA24</f>
        <v>1762</v>
      </c>
      <c r="BE24" s="22">
        <f>BH24-BB24</f>
        <v>1760</v>
      </c>
      <c r="BF24" s="15">
        <f t="shared" ref="BF24:BF25" si="137">(BE24/BD24-1)*100</f>
        <v>-0.11350737797957144</v>
      </c>
      <c r="BG24" s="22">
        <v>9682</v>
      </c>
      <c r="BH24" s="22">
        <v>11693</v>
      </c>
      <c r="BI24" s="15">
        <f t="shared" ref="BI24:BI25" si="138">(BH24/BG24-1)*100</f>
        <v>20.770501962404463</v>
      </c>
      <c r="BJ24" s="23">
        <f>BM24-BG24</f>
        <v>1540</v>
      </c>
      <c r="BK24" s="22">
        <f>BN24-BH24</f>
        <v>0</v>
      </c>
      <c r="BL24" s="15">
        <f t="shared" ref="BL24:BL25" si="139">(BK24/BJ24-1)*100</f>
        <v>-100</v>
      </c>
      <c r="BM24" s="22">
        <v>11222</v>
      </c>
      <c r="BN24" s="22">
        <v>11693</v>
      </c>
      <c r="BO24" s="15">
        <f t="shared" ref="BO24:BO25" si="140">(BN24/BM24-1)*100</f>
        <v>4.1971128141151226</v>
      </c>
      <c r="BP24" s="23">
        <f>BS24-BM24</f>
        <v>2640</v>
      </c>
      <c r="BQ24" s="22">
        <f>BT24-BN24</f>
        <v>2929</v>
      </c>
      <c r="BR24" s="15">
        <f t="shared" ref="BR24:BR25" si="141">(BQ24/BP24-1)*100</f>
        <v>10.946969696969688</v>
      </c>
      <c r="BS24" s="22">
        <v>13862</v>
      </c>
      <c r="BT24" s="22">
        <v>14622</v>
      </c>
      <c r="BU24" s="15">
        <f t="shared" ref="BU24:BU25" si="142">(BT24/BS24-1)*100</f>
        <v>5.4826143413648776</v>
      </c>
      <c r="BV24" s="23">
        <f>BY24-BS24</f>
        <v>160</v>
      </c>
      <c r="BW24" s="22">
        <f>BZ24-BT24</f>
        <v>1760</v>
      </c>
      <c r="BX24" s="15">
        <f t="shared" ref="BX24:BX25" si="143">(BW24/BV24-1)*100</f>
        <v>1000</v>
      </c>
      <c r="BY24" s="22">
        <v>14022</v>
      </c>
      <c r="BZ24" s="22">
        <v>16382</v>
      </c>
      <c r="CA24" s="15">
        <f t="shared" ref="CA24:CA25" si="144">(BZ24/BY24-1)*100</f>
        <v>16.830694622735699</v>
      </c>
      <c r="CB24" s="6"/>
    </row>
    <row r="25" spans="1:80" s="1" customFormat="1" ht="19.5" customHeight="1">
      <c r="A25" s="152"/>
      <c r="B25" s="120"/>
      <c r="C25" s="33" t="s">
        <v>104</v>
      </c>
      <c r="D25" s="17">
        <v>49162</v>
      </c>
      <c r="E25" s="17">
        <v>36230</v>
      </c>
      <c r="F25" s="17">
        <v>453704</v>
      </c>
      <c r="G25" s="17">
        <v>185286</v>
      </c>
      <c r="H25" s="17">
        <v>123744</v>
      </c>
      <c r="I25" s="17">
        <v>245102</v>
      </c>
      <c r="J25" s="17">
        <v>141328</v>
      </c>
      <c r="K25" s="17">
        <v>0</v>
      </c>
      <c r="L25" s="17">
        <v>10000</v>
      </c>
      <c r="M25" s="44" t="e">
        <f t="shared" si="0"/>
        <v>#DIV/0!</v>
      </c>
      <c r="N25" s="14">
        <f>Q25-K25</f>
        <v>0</v>
      </c>
      <c r="O25" s="14">
        <f>R25-L25</f>
        <v>0</v>
      </c>
      <c r="P25" s="18" t="e">
        <f t="shared" si="1"/>
        <v>#DIV/0!</v>
      </c>
      <c r="Q25" s="17">
        <v>0</v>
      </c>
      <c r="R25" s="17">
        <v>10000</v>
      </c>
      <c r="S25" s="18" t="e">
        <f t="shared" si="2"/>
        <v>#DIV/0!</v>
      </c>
      <c r="T25" s="14">
        <f>W25-Q25</f>
        <v>15720</v>
      </c>
      <c r="U25" s="14">
        <f>X25-R25</f>
        <v>0</v>
      </c>
      <c r="V25" s="18">
        <f t="shared" si="125"/>
        <v>-100</v>
      </c>
      <c r="W25" s="17">
        <v>15720</v>
      </c>
      <c r="X25" s="17">
        <v>10000</v>
      </c>
      <c r="Y25" s="18">
        <f t="shared" si="126"/>
        <v>-36.386768447837149</v>
      </c>
      <c r="Z25" s="14">
        <f>AC25-W25</f>
        <v>0</v>
      </c>
      <c r="AA25" s="14">
        <f>AD25-X25</f>
        <v>9600</v>
      </c>
      <c r="AB25" s="18" t="e">
        <f t="shared" si="127"/>
        <v>#DIV/0!</v>
      </c>
      <c r="AC25" s="17">
        <v>15720</v>
      </c>
      <c r="AD25" s="17">
        <v>19600</v>
      </c>
      <c r="AE25" s="18">
        <f t="shared" si="128"/>
        <v>24.681933842239179</v>
      </c>
      <c r="AF25" s="14">
        <f>AI25-AC25</f>
        <v>15000</v>
      </c>
      <c r="AG25" s="14">
        <f>AJ25-AD25</f>
        <v>14400</v>
      </c>
      <c r="AH25" s="18">
        <f t="shared" si="129"/>
        <v>-4.0000000000000036</v>
      </c>
      <c r="AI25" s="17">
        <v>30720</v>
      </c>
      <c r="AJ25" s="17">
        <v>34000</v>
      </c>
      <c r="AK25" s="18">
        <f t="shared" si="130"/>
        <v>10.677083333333325</v>
      </c>
      <c r="AL25" s="14">
        <f>AO25-AI25</f>
        <v>0</v>
      </c>
      <c r="AM25" s="14">
        <f>AP25-AJ25</f>
        <v>10030</v>
      </c>
      <c r="AN25" s="18" t="e">
        <f t="shared" si="131"/>
        <v>#DIV/0!</v>
      </c>
      <c r="AO25" s="17">
        <v>30720</v>
      </c>
      <c r="AP25" s="17">
        <v>44030</v>
      </c>
      <c r="AQ25" s="18">
        <f t="shared" si="132"/>
        <v>43.326822916666671</v>
      </c>
      <c r="AR25" s="14">
        <f>AU25-AO25</f>
        <v>15000</v>
      </c>
      <c r="AS25" s="14">
        <f>AV25-AP25</f>
        <v>26000</v>
      </c>
      <c r="AT25" s="18">
        <f t="shared" si="133"/>
        <v>73.333333333333343</v>
      </c>
      <c r="AU25" s="17">
        <v>45720</v>
      </c>
      <c r="AV25" s="17">
        <v>70030</v>
      </c>
      <c r="AW25" s="18">
        <f t="shared" si="134"/>
        <v>53.171478565179342</v>
      </c>
      <c r="AX25" s="14">
        <f>BA25-AU25</f>
        <v>0</v>
      </c>
      <c r="AY25" s="14">
        <f>BB25-AV25</f>
        <v>0</v>
      </c>
      <c r="AZ25" s="18" t="e">
        <f t="shared" si="135"/>
        <v>#DIV/0!</v>
      </c>
      <c r="BA25" s="17">
        <v>45720</v>
      </c>
      <c r="BB25" s="17">
        <v>70030</v>
      </c>
      <c r="BC25" s="18">
        <f t="shared" si="136"/>
        <v>53.171478565179342</v>
      </c>
      <c r="BD25" s="14">
        <f>BG25-BA25</f>
        <v>10428</v>
      </c>
      <c r="BE25" s="14">
        <f>BH25-BB25</f>
        <v>9600</v>
      </c>
      <c r="BF25" s="18">
        <f t="shared" si="137"/>
        <v>-7.9401611047180687</v>
      </c>
      <c r="BG25" s="17">
        <v>56148</v>
      </c>
      <c r="BH25" s="17">
        <v>79630</v>
      </c>
      <c r="BI25" s="18">
        <f t="shared" si="138"/>
        <v>41.821614305050936</v>
      </c>
      <c r="BJ25" s="14">
        <f>BM25-BG25</f>
        <v>140</v>
      </c>
      <c r="BK25" s="14">
        <f>BN25-BH25</f>
        <v>0</v>
      </c>
      <c r="BL25" s="18">
        <f t="shared" si="139"/>
        <v>-100</v>
      </c>
      <c r="BM25" s="17">
        <v>56288</v>
      </c>
      <c r="BN25" s="17">
        <v>79630</v>
      </c>
      <c r="BO25" s="18">
        <f t="shared" si="140"/>
        <v>41.468874360432075</v>
      </c>
      <c r="BP25" s="14">
        <f>BS25-BM25</f>
        <v>10000</v>
      </c>
      <c r="BQ25" s="14">
        <f>BT25-BN25</f>
        <v>74400</v>
      </c>
      <c r="BR25" s="18">
        <f t="shared" si="141"/>
        <v>644</v>
      </c>
      <c r="BS25" s="17">
        <v>66288</v>
      </c>
      <c r="BT25" s="17">
        <v>154030</v>
      </c>
      <c r="BU25" s="18">
        <f t="shared" si="142"/>
        <v>132.36483224716392</v>
      </c>
      <c r="BV25" s="14">
        <f>BY25-BS25</f>
        <v>75040</v>
      </c>
      <c r="BW25" s="14">
        <f>BZ25-BT25</f>
        <v>9600</v>
      </c>
      <c r="BX25" s="18">
        <f t="shared" si="143"/>
        <v>-87.206823027718556</v>
      </c>
      <c r="BY25" s="17">
        <v>141328</v>
      </c>
      <c r="BZ25" s="17">
        <v>163630</v>
      </c>
      <c r="CA25" s="18">
        <f t="shared" si="144"/>
        <v>15.780312464621304</v>
      </c>
      <c r="CB25" s="6"/>
    </row>
    <row r="26" spans="1:80" s="1" customFormat="1" ht="19.5" customHeight="1" thickBot="1">
      <c r="A26" s="153"/>
      <c r="B26" s="121"/>
      <c r="C26" s="34" t="s">
        <v>105</v>
      </c>
      <c r="D26" s="19">
        <f t="shared" ref="D26:L26" si="145">D25/D24</f>
        <v>399.6910569105691</v>
      </c>
      <c r="E26" s="19">
        <f t="shared" si="145"/>
        <v>18.160401002506266</v>
      </c>
      <c r="F26" s="19">
        <f t="shared" si="145"/>
        <v>39.514370318759795</v>
      </c>
      <c r="G26" s="19">
        <f t="shared" si="145"/>
        <v>18.757440777485321</v>
      </c>
      <c r="H26" s="20">
        <f>H25/H24</f>
        <v>7.1635984716915599</v>
      </c>
      <c r="I26" s="20">
        <f>I25/I24</f>
        <v>18.012934518997575</v>
      </c>
      <c r="J26" s="20">
        <f>J25/J24</f>
        <v>10.079018684923691</v>
      </c>
      <c r="K26" s="20" t="e">
        <f t="shared" si="145"/>
        <v>#DIV/0!</v>
      </c>
      <c r="L26" s="20">
        <f t="shared" si="145"/>
        <v>3.7878787878787881</v>
      </c>
      <c r="M26" s="46"/>
      <c r="N26" s="20" t="e">
        <f>N25/N24</f>
        <v>#DIV/0!</v>
      </c>
      <c r="O26" s="20" t="e">
        <f>O25/O24</f>
        <v>#DIV/0!</v>
      </c>
      <c r="P26" s="47"/>
      <c r="Q26" s="20" t="e">
        <f>Q25/Q24</f>
        <v>#DIV/0!</v>
      </c>
      <c r="R26" s="20">
        <f>R25/R24</f>
        <v>3.7878787878787881</v>
      </c>
      <c r="S26" s="47"/>
      <c r="T26" s="20">
        <f>T25/T24</f>
        <v>5.9545454545454541</v>
      </c>
      <c r="U26" s="20" t="e">
        <f>U25/U24</f>
        <v>#DIV/0!</v>
      </c>
      <c r="V26" s="47"/>
      <c r="W26" s="20">
        <f>W25/W24</f>
        <v>5.9545454545454541</v>
      </c>
      <c r="X26" s="20">
        <f>X25/X24</f>
        <v>3.7878787878787881</v>
      </c>
      <c r="Y26" s="47"/>
      <c r="Z26" s="20" t="e">
        <f>Z25/Z24</f>
        <v>#DIV/0!</v>
      </c>
      <c r="AA26" s="20">
        <f>AA25/AA24</f>
        <v>5.4545454545454541</v>
      </c>
      <c r="AB26" s="47"/>
      <c r="AC26" s="20">
        <f>AC25/AC24</f>
        <v>5.9545454545454541</v>
      </c>
      <c r="AD26" s="20">
        <f>AD25/AD24</f>
        <v>4.4545454545454541</v>
      </c>
      <c r="AE26" s="47"/>
      <c r="AF26" s="20">
        <f>AF25/AF24</f>
        <v>5.6818181818181817</v>
      </c>
      <c r="AG26" s="20">
        <f>AG25/AG24</f>
        <v>5.4545454545454541</v>
      </c>
      <c r="AH26" s="47"/>
      <c r="AI26" s="20">
        <f>AI25/AI24</f>
        <v>5.8181818181818183</v>
      </c>
      <c r="AJ26" s="20">
        <f>AJ25/AJ24</f>
        <v>4.8295454545454541</v>
      </c>
      <c r="AK26" s="47"/>
      <c r="AL26" s="20" t="e">
        <f>AL25/AL24</f>
        <v>#DIV/0!</v>
      </c>
      <c r="AM26" s="20">
        <f>AM25/AM24</f>
        <v>40.119999999999997</v>
      </c>
      <c r="AN26" s="47"/>
      <c r="AO26" s="20">
        <f>AO25/AO24</f>
        <v>5.8181818181818183</v>
      </c>
      <c r="AP26" s="20">
        <f>AP25/AP24</f>
        <v>6.0397805212620028</v>
      </c>
      <c r="AQ26" s="47"/>
      <c r="AR26" s="20">
        <f>AR25/AR24</f>
        <v>5.6818181818181817</v>
      </c>
      <c r="AS26" s="20">
        <f>AS25/AS24</f>
        <v>9.8373060915626187</v>
      </c>
      <c r="AT26" s="47"/>
      <c r="AU26" s="20">
        <f>AU25/AU24</f>
        <v>5.7727272727272725</v>
      </c>
      <c r="AV26" s="20">
        <f>AV25/AV24</f>
        <v>7.0502365851203059</v>
      </c>
      <c r="AW26" s="47"/>
      <c r="AX26" s="20" t="e">
        <f>AX25/AX24</f>
        <v>#DIV/0!</v>
      </c>
      <c r="AY26" s="20" t="e">
        <f>AY25/AY24</f>
        <v>#DIV/0!</v>
      </c>
      <c r="AZ26" s="47"/>
      <c r="BA26" s="20">
        <f>BA25/BA24</f>
        <v>5.7727272727272725</v>
      </c>
      <c r="BB26" s="20">
        <f>BB25/BB24</f>
        <v>7.0502365851203059</v>
      </c>
      <c r="BC26" s="47"/>
      <c r="BD26" s="20">
        <f>BD25/BD24</f>
        <v>5.9182746878547103</v>
      </c>
      <c r="BE26" s="20">
        <f>BE25/BE24</f>
        <v>5.4545454545454541</v>
      </c>
      <c r="BF26" s="47"/>
      <c r="BG26" s="20">
        <f>BG25/BG24</f>
        <v>5.7992150382152445</v>
      </c>
      <c r="BH26" s="20">
        <f>BH25/BH24</f>
        <v>6.8100572992388608</v>
      </c>
      <c r="BI26" s="47"/>
      <c r="BJ26" s="20">
        <f>BJ25/BJ24</f>
        <v>9.0909090909090912E-2</v>
      </c>
      <c r="BK26" s="20" t="e">
        <f>BK25/BK24</f>
        <v>#DIV/0!</v>
      </c>
      <c r="BL26" s="47"/>
      <c r="BM26" s="20">
        <f>BM25/BM24</f>
        <v>5.0158617002316879</v>
      </c>
      <c r="BN26" s="20">
        <f>BN25/BN24</f>
        <v>6.8100572992388608</v>
      </c>
      <c r="BO26" s="47"/>
      <c r="BP26" s="20">
        <f>BP25/BP24</f>
        <v>3.7878787878787881</v>
      </c>
      <c r="BQ26" s="20">
        <f>BQ25/BQ24</f>
        <v>25.401160805735746</v>
      </c>
      <c r="BR26" s="47"/>
      <c r="BS26" s="20">
        <f>BS25/BS24</f>
        <v>4.7819939402683591</v>
      </c>
      <c r="BT26" s="20">
        <f>BT25/BT24</f>
        <v>10.534126658459854</v>
      </c>
      <c r="BU26" s="47"/>
      <c r="BV26" s="20">
        <f>BV25/BV24</f>
        <v>469</v>
      </c>
      <c r="BW26" s="20">
        <f>BW25/BW24</f>
        <v>5.4545454545454541</v>
      </c>
      <c r="BX26" s="47"/>
      <c r="BY26" s="20">
        <f>BY25/BY24</f>
        <v>10.079018684923691</v>
      </c>
      <c r="BZ26" s="20">
        <f>BZ25/BZ24</f>
        <v>9.9884019045293613</v>
      </c>
      <c r="CA26" s="47"/>
      <c r="CB26" s="6"/>
    </row>
    <row r="27" spans="1:80" s="1" customFormat="1" ht="19.5" customHeight="1">
      <c r="A27" s="164" t="s">
        <v>88</v>
      </c>
      <c r="B27" s="114" t="s">
        <v>30</v>
      </c>
      <c r="C27" s="32" t="s">
        <v>42</v>
      </c>
      <c r="D27" s="22">
        <v>13928812</v>
      </c>
      <c r="E27" s="22">
        <v>18580041</v>
      </c>
      <c r="F27" s="22">
        <v>39931222</v>
      </c>
      <c r="G27" s="22">
        <v>63679315</v>
      </c>
      <c r="H27" s="22">
        <v>121754427</v>
      </c>
      <c r="I27" s="22">
        <v>103478184</v>
      </c>
      <c r="J27" s="22">
        <v>70744366</v>
      </c>
      <c r="K27" s="22">
        <v>4242171</v>
      </c>
      <c r="L27" s="22">
        <v>2239921</v>
      </c>
      <c r="M27" s="43">
        <f t="shared" si="0"/>
        <v>-47.198710283013114</v>
      </c>
      <c r="N27" s="23">
        <f>Q27-K27</f>
        <v>3265859</v>
      </c>
      <c r="O27" s="22">
        <f>R27-L27</f>
        <v>3764654</v>
      </c>
      <c r="P27" s="15">
        <f t="shared" si="1"/>
        <v>15.273010867891102</v>
      </c>
      <c r="Q27" s="22">
        <v>7508030</v>
      </c>
      <c r="R27" s="22">
        <v>6004575</v>
      </c>
      <c r="S27" s="15">
        <f t="shared" si="2"/>
        <v>-20.024626966061664</v>
      </c>
      <c r="T27" s="23">
        <f>W27-Q27</f>
        <v>11568882</v>
      </c>
      <c r="U27" s="22">
        <f>X27-R27</f>
        <v>4575855</v>
      </c>
      <c r="V27" s="15">
        <f t="shared" ref="V27:V28" si="146">(U27/T27-1)*100</f>
        <v>-60.446869455492759</v>
      </c>
      <c r="W27" s="22">
        <v>19076912</v>
      </c>
      <c r="X27" s="22">
        <v>10580430</v>
      </c>
      <c r="Y27" s="15">
        <f t="shared" ref="Y27:Y28" si="147">(X27/W27-1)*100</f>
        <v>-44.538036344666267</v>
      </c>
      <c r="Z27" s="23">
        <f>AC27-W27</f>
        <v>6185224</v>
      </c>
      <c r="AA27" s="22">
        <f>AD27-X27</f>
        <v>5031997</v>
      </c>
      <c r="AB27" s="15">
        <f t="shared" ref="AB27:AB28" si="148">(AA27/Z27-1)*100</f>
        <v>-18.644870420214367</v>
      </c>
      <c r="AC27" s="22">
        <v>25262136</v>
      </c>
      <c r="AD27" s="22">
        <v>15612427</v>
      </c>
      <c r="AE27" s="15">
        <f t="shared" ref="AE27:AE28" si="149">(AD27/AC27-1)*100</f>
        <v>-38.198309913302666</v>
      </c>
      <c r="AF27" s="23">
        <f>AI27-AC27</f>
        <v>4828099</v>
      </c>
      <c r="AG27" s="22">
        <f>AJ27-AD27</f>
        <v>6824067</v>
      </c>
      <c r="AH27" s="15">
        <f t="shared" ref="AH27:AH28" si="150">(AG27/AF27-1)*100</f>
        <v>41.340660164590659</v>
      </c>
      <c r="AI27" s="22">
        <v>30090235</v>
      </c>
      <c r="AJ27" s="22">
        <v>22436494</v>
      </c>
      <c r="AK27" s="15">
        <f t="shared" ref="AK27:AK28" si="151">(AJ27/AI27-1)*100</f>
        <v>-25.435962863035133</v>
      </c>
      <c r="AL27" s="23">
        <f>AO27-AI27</f>
        <v>8705613</v>
      </c>
      <c r="AM27" s="22">
        <f>AP27-AJ27</f>
        <v>3056162</v>
      </c>
      <c r="AN27" s="15">
        <f t="shared" ref="AN27:AN28" si="152">(AM27/AL27-1)*100</f>
        <v>-64.894350346150233</v>
      </c>
      <c r="AO27" s="22">
        <v>38795848</v>
      </c>
      <c r="AP27" s="22">
        <v>25492656</v>
      </c>
      <c r="AQ27" s="15">
        <f t="shared" ref="AQ27:AQ28" si="153">(AP27/AO27-1)*100</f>
        <v>-34.290246729495387</v>
      </c>
      <c r="AR27" s="23">
        <f>AU27-AO27</f>
        <v>5985334</v>
      </c>
      <c r="AS27" s="22">
        <f>AV27-AP27</f>
        <v>6202101</v>
      </c>
      <c r="AT27" s="15">
        <f t="shared" ref="AT27:AT28" si="154">(AS27/AR27-1)*100</f>
        <v>3.6216358184856468</v>
      </c>
      <c r="AU27" s="22">
        <v>44781182</v>
      </c>
      <c r="AV27" s="22">
        <v>31694757</v>
      </c>
      <c r="AW27" s="15">
        <f t="shared" ref="AW27:AW28" si="155">(AV27/AU27-1)*100</f>
        <v>-29.223045072816522</v>
      </c>
      <c r="AX27" s="23">
        <f>BA27-AU27</f>
        <v>4580731</v>
      </c>
      <c r="AY27" s="22">
        <f>BB27-AV27</f>
        <v>6450202</v>
      </c>
      <c r="AZ27" s="15">
        <f t="shared" ref="AZ27:AZ28" si="156">(AY27/AX27-1)*100</f>
        <v>40.811630283463487</v>
      </c>
      <c r="BA27" s="22">
        <v>49361913</v>
      </c>
      <c r="BB27" s="22">
        <v>38144959</v>
      </c>
      <c r="BC27" s="15">
        <f t="shared" ref="BC27:BC28" si="157">(BB27/BA27-1)*100</f>
        <v>-22.723904561802534</v>
      </c>
      <c r="BD27" s="23">
        <f>BG27-BA27</f>
        <v>8385353</v>
      </c>
      <c r="BE27" s="22">
        <f>BH27-BB27</f>
        <v>2156734</v>
      </c>
      <c r="BF27" s="15">
        <f t="shared" ref="BF27:BF28" si="158">(BE27/BD27-1)*100</f>
        <v>-74.279747078029985</v>
      </c>
      <c r="BG27" s="22">
        <v>57747266</v>
      </c>
      <c r="BH27" s="22">
        <v>40301693</v>
      </c>
      <c r="BI27" s="15">
        <f t="shared" ref="BI27:BI28" si="159">(BH27/BG27-1)*100</f>
        <v>-30.210214627303746</v>
      </c>
      <c r="BJ27" s="23">
        <f>BM27-BG27</f>
        <v>2711969</v>
      </c>
      <c r="BK27" s="22">
        <f>BN27-BH27</f>
        <v>6892751</v>
      </c>
      <c r="BL27" s="15">
        <f t="shared" ref="BL27:BL28" si="160">(BK27/BJ27-1)*100</f>
        <v>154.1603904764398</v>
      </c>
      <c r="BM27" s="22">
        <v>60459235</v>
      </c>
      <c r="BN27" s="22">
        <v>47194444</v>
      </c>
      <c r="BO27" s="15">
        <f t="shared" ref="BO27:BO28" si="161">(BN27/BM27-1)*100</f>
        <v>-21.94005762725909</v>
      </c>
      <c r="BP27" s="23">
        <f>BS27-BM27</f>
        <v>6191452</v>
      </c>
      <c r="BQ27" s="22">
        <f>BT27-BN27</f>
        <v>5364649</v>
      </c>
      <c r="BR27" s="15">
        <f t="shared" ref="BR27:BR28" si="162">(BQ27/BP27-1)*100</f>
        <v>-13.353943469157159</v>
      </c>
      <c r="BS27" s="22">
        <v>66650687</v>
      </c>
      <c r="BT27" s="22">
        <v>52559093</v>
      </c>
      <c r="BU27" s="15">
        <f t="shared" ref="BU27:BU28" si="163">(BT27/BS27-1)*100</f>
        <v>-21.142458741648085</v>
      </c>
      <c r="BV27" s="23">
        <f>BY27-BS27</f>
        <v>4093679</v>
      </c>
      <c r="BW27" s="22">
        <f>BZ27-BT27</f>
        <v>4804456</v>
      </c>
      <c r="BX27" s="15">
        <f t="shared" ref="BX27:BX28" si="164">(BW27/BV27-1)*100</f>
        <v>17.362792734848043</v>
      </c>
      <c r="BY27" s="22">
        <v>70744366</v>
      </c>
      <c r="BZ27" s="22">
        <v>57363549</v>
      </c>
      <c r="CA27" s="15">
        <f t="shared" ref="CA27:CA28" si="165">(BZ27/BY27-1)*100</f>
        <v>-18.914321742596442</v>
      </c>
      <c r="CB27" s="6"/>
    </row>
    <row r="28" spans="1:80" s="1" customFormat="1" ht="19.5" customHeight="1">
      <c r="A28" s="152"/>
      <c r="B28" s="120"/>
      <c r="C28" s="33" t="s">
        <v>104</v>
      </c>
      <c r="D28" s="17">
        <v>21726871</v>
      </c>
      <c r="E28" s="17">
        <v>36362853</v>
      </c>
      <c r="F28" s="17">
        <v>43950117</v>
      </c>
      <c r="G28" s="17">
        <v>34054278</v>
      </c>
      <c r="H28" s="17">
        <v>41092459</v>
      </c>
      <c r="I28" s="17">
        <v>49133263</v>
      </c>
      <c r="J28" s="17">
        <v>44872403</v>
      </c>
      <c r="K28" s="17">
        <v>3172562</v>
      </c>
      <c r="L28" s="17">
        <v>2654818</v>
      </c>
      <c r="M28" s="44">
        <f t="shared" si="0"/>
        <v>-16.319428903201892</v>
      </c>
      <c r="N28" s="14">
        <f>Q28-K28</f>
        <v>3363960</v>
      </c>
      <c r="O28" s="14">
        <f>R28-L28</f>
        <v>3151278</v>
      </c>
      <c r="P28" s="18">
        <f t="shared" si="1"/>
        <v>-6.3223700638533114</v>
      </c>
      <c r="Q28" s="17">
        <v>6536522</v>
      </c>
      <c r="R28" s="17">
        <v>5806096</v>
      </c>
      <c r="S28" s="18">
        <f t="shared" si="2"/>
        <v>-11.174535938225249</v>
      </c>
      <c r="T28" s="14">
        <f>W28-Q28</f>
        <v>5967345</v>
      </c>
      <c r="U28" s="14">
        <f>X28-R28</f>
        <v>3352182</v>
      </c>
      <c r="V28" s="18">
        <f t="shared" si="146"/>
        <v>-43.824565196079668</v>
      </c>
      <c r="W28" s="17">
        <v>12503867</v>
      </c>
      <c r="X28" s="17">
        <v>9158278</v>
      </c>
      <c r="Y28" s="18">
        <f t="shared" si="147"/>
        <v>-26.756434629383051</v>
      </c>
      <c r="Z28" s="14">
        <f>AC28-W28</f>
        <v>3640995</v>
      </c>
      <c r="AA28" s="14">
        <f>AD28-X28</f>
        <v>3012901</v>
      </c>
      <c r="AB28" s="18">
        <f t="shared" si="148"/>
        <v>-17.250614186506709</v>
      </c>
      <c r="AC28" s="17">
        <v>16144862</v>
      </c>
      <c r="AD28" s="17">
        <v>12171179</v>
      </c>
      <c r="AE28" s="18">
        <f t="shared" si="149"/>
        <v>-24.612678634230512</v>
      </c>
      <c r="AF28" s="14">
        <f>AI28-AC28</f>
        <v>3434063</v>
      </c>
      <c r="AG28" s="14">
        <f>AJ28-AD28</f>
        <v>4116894</v>
      </c>
      <c r="AH28" s="18">
        <f t="shared" si="150"/>
        <v>19.884055708937186</v>
      </c>
      <c r="AI28" s="17">
        <v>19578925</v>
      </c>
      <c r="AJ28" s="17">
        <v>16288073</v>
      </c>
      <c r="AK28" s="18">
        <f t="shared" si="151"/>
        <v>-16.808134256605001</v>
      </c>
      <c r="AL28" s="14">
        <f>AO28-AI28</f>
        <v>5634715</v>
      </c>
      <c r="AM28" s="14">
        <f>AP28-AJ28</f>
        <v>3137986</v>
      </c>
      <c r="AN28" s="18">
        <f t="shared" si="152"/>
        <v>-44.309765445102364</v>
      </c>
      <c r="AO28" s="17">
        <v>25213640</v>
      </c>
      <c r="AP28" s="17">
        <v>19426059</v>
      </c>
      <c r="AQ28" s="18">
        <f t="shared" si="153"/>
        <v>-22.954166871582203</v>
      </c>
      <c r="AR28" s="14">
        <f>AU28-AO28</f>
        <v>4016691</v>
      </c>
      <c r="AS28" s="14">
        <f>AV28-AP28</f>
        <v>3635157</v>
      </c>
      <c r="AT28" s="18">
        <f t="shared" si="154"/>
        <v>-9.4987142401543938</v>
      </c>
      <c r="AU28" s="17">
        <v>29230331</v>
      </c>
      <c r="AV28" s="17">
        <v>23061216</v>
      </c>
      <c r="AW28" s="18">
        <f t="shared" si="155"/>
        <v>-21.105183516396032</v>
      </c>
      <c r="AX28" s="14">
        <f>BA28-AU28</f>
        <v>2925451</v>
      </c>
      <c r="AY28" s="14">
        <f>BB28-AV28</f>
        <v>4430498</v>
      </c>
      <c r="AZ28" s="18">
        <f t="shared" si="156"/>
        <v>51.446665830328378</v>
      </c>
      <c r="BA28" s="17">
        <v>32155782</v>
      </c>
      <c r="BB28" s="17">
        <v>27491714</v>
      </c>
      <c r="BC28" s="18">
        <f t="shared" si="157"/>
        <v>-14.504601380865189</v>
      </c>
      <c r="BD28" s="14">
        <f>BG28-BA28</f>
        <v>3457820</v>
      </c>
      <c r="BE28" s="14">
        <f>BH28-BB28</f>
        <v>2941208</v>
      </c>
      <c r="BF28" s="18">
        <f t="shared" si="158"/>
        <v>-14.94039597202862</v>
      </c>
      <c r="BG28" s="17">
        <v>35613602</v>
      </c>
      <c r="BH28" s="17">
        <v>30432922</v>
      </c>
      <c r="BI28" s="18">
        <f t="shared" si="159"/>
        <v>-14.546913844884324</v>
      </c>
      <c r="BJ28" s="14">
        <f>BM28-BG28</f>
        <v>2806895</v>
      </c>
      <c r="BK28" s="14">
        <f>BN28-BH28</f>
        <v>3523570</v>
      </c>
      <c r="BL28" s="18">
        <f t="shared" si="160"/>
        <v>25.532661535255151</v>
      </c>
      <c r="BM28" s="17">
        <v>38420497</v>
      </c>
      <c r="BN28" s="17">
        <v>33956492</v>
      </c>
      <c r="BO28" s="18">
        <f t="shared" si="161"/>
        <v>-11.618811177793976</v>
      </c>
      <c r="BP28" s="14">
        <f>BS28-BM28</f>
        <v>3495213</v>
      </c>
      <c r="BQ28" s="14">
        <f>BT28-BN28</f>
        <v>4622827</v>
      </c>
      <c r="BR28" s="18">
        <f t="shared" si="162"/>
        <v>32.261667600801445</v>
      </c>
      <c r="BS28" s="17">
        <v>41915710</v>
      </c>
      <c r="BT28" s="17">
        <v>38579319</v>
      </c>
      <c r="BU28" s="18">
        <f t="shared" si="163"/>
        <v>-7.9597625806648642</v>
      </c>
      <c r="BV28" s="14">
        <f>BY28-BS28</f>
        <v>2956693</v>
      </c>
      <c r="BW28" s="14">
        <f>BZ28-BT28</f>
        <v>4495048</v>
      </c>
      <c r="BX28" s="18">
        <f t="shared" si="164"/>
        <v>52.029581698201333</v>
      </c>
      <c r="BY28" s="17">
        <v>44872403</v>
      </c>
      <c r="BZ28" s="17">
        <v>43074367</v>
      </c>
      <c r="CA28" s="18">
        <f t="shared" si="165"/>
        <v>-4.0069973520250324</v>
      </c>
      <c r="CB28" s="6"/>
    </row>
    <row r="29" spans="1:80" s="1" customFormat="1" ht="19.5" customHeight="1" thickBot="1">
      <c r="A29" s="153"/>
      <c r="B29" s="121"/>
      <c r="C29" s="34" t="s">
        <v>105</v>
      </c>
      <c r="D29" s="19">
        <f t="shared" ref="D29:L29" si="166">D28/D27</f>
        <v>1.5598509765226209</v>
      </c>
      <c r="E29" s="19">
        <f t="shared" si="166"/>
        <v>1.9570921829505112</v>
      </c>
      <c r="F29" s="19">
        <f t="shared" si="166"/>
        <v>1.1006454297842425</v>
      </c>
      <c r="G29" s="19">
        <f t="shared" si="166"/>
        <v>0.53477770607300035</v>
      </c>
      <c r="H29" s="20">
        <f>H28/H27</f>
        <v>0.33750279158227242</v>
      </c>
      <c r="I29" s="20">
        <f>I28/I27</f>
        <v>0.47481760020063746</v>
      </c>
      <c r="J29" s="20">
        <f>J28/J27</f>
        <v>0.63428942171875569</v>
      </c>
      <c r="K29" s="20">
        <f t="shared" si="166"/>
        <v>0.74786282778322699</v>
      </c>
      <c r="L29" s="20">
        <f t="shared" si="166"/>
        <v>1.1852284076090183</v>
      </c>
      <c r="M29" s="46"/>
      <c r="N29" s="20">
        <f>N28/N27</f>
        <v>1.0300383451949395</v>
      </c>
      <c r="O29" s="20">
        <f>O28/O27</f>
        <v>0.83706975461755584</v>
      </c>
      <c r="P29" s="47"/>
      <c r="Q29" s="20">
        <f>Q28/Q27</f>
        <v>0.87060413983428409</v>
      </c>
      <c r="R29" s="20">
        <f>R28/R27</f>
        <v>0.9669453708214153</v>
      </c>
      <c r="S29" s="47"/>
      <c r="T29" s="20">
        <f>T28/T27</f>
        <v>0.51580999788916504</v>
      </c>
      <c r="U29" s="20">
        <f>U28/U27</f>
        <v>0.73258046856816927</v>
      </c>
      <c r="V29" s="47"/>
      <c r="W29" s="20">
        <f>W28/W27</f>
        <v>0.65544502171001262</v>
      </c>
      <c r="X29" s="20">
        <f>X28/X27</f>
        <v>0.86558655933643525</v>
      </c>
      <c r="Y29" s="47"/>
      <c r="Z29" s="20">
        <f>Z28/Z27</f>
        <v>0.58866016816852551</v>
      </c>
      <c r="AA29" s="20">
        <f>AA28/AA27</f>
        <v>0.59874856841130863</v>
      </c>
      <c r="AB29" s="47"/>
      <c r="AC29" s="20">
        <f>AC28/AC27</f>
        <v>0.63909330549087373</v>
      </c>
      <c r="AD29" s="20">
        <f>AD28/AD27</f>
        <v>0.77958276442221319</v>
      </c>
      <c r="AE29" s="47"/>
      <c r="AF29" s="20">
        <f>AF28/AF27</f>
        <v>0.71126606973055029</v>
      </c>
      <c r="AG29" s="20">
        <f>AG28/AG27</f>
        <v>0.60329038387225686</v>
      </c>
      <c r="AH29" s="47"/>
      <c r="AI29" s="20">
        <f>AI28/AI27</f>
        <v>0.65067371524350004</v>
      </c>
      <c r="AJ29" s="20">
        <f>AJ28/AJ27</f>
        <v>0.72596337912688136</v>
      </c>
      <c r="AK29" s="47"/>
      <c r="AL29" s="20">
        <f>AL28/AL27</f>
        <v>0.64725080244205668</v>
      </c>
      <c r="AM29" s="20">
        <f>AM28/AM27</f>
        <v>1.026773449836756</v>
      </c>
      <c r="AN29" s="47"/>
      <c r="AO29" s="20">
        <f>AO28/AO27</f>
        <v>0.64990562907659599</v>
      </c>
      <c r="AP29" s="20">
        <f>AP28/AP27</f>
        <v>0.76202569869534187</v>
      </c>
      <c r="AQ29" s="47"/>
      <c r="AR29" s="20">
        <f>AR28/AR27</f>
        <v>0.6710888648820601</v>
      </c>
      <c r="AS29" s="20">
        <f>AS28/AS27</f>
        <v>0.58611702711710112</v>
      </c>
      <c r="AT29" s="47"/>
      <c r="AU29" s="20">
        <f>AU28/AU27</f>
        <v>0.65273692418391283</v>
      </c>
      <c r="AV29" s="20">
        <f>AV28/AV27</f>
        <v>0.72760349606087849</v>
      </c>
      <c r="AW29" s="47"/>
      <c r="AX29" s="20">
        <f>AX28/AX27</f>
        <v>0.63864282796785055</v>
      </c>
      <c r="AY29" s="20">
        <f>AY28/AY27</f>
        <v>0.68687740321931001</v>
      </c>
      <c r="AZ29" s="47"/>
      <c r="BA29" s="20">
        <f>BA28/BA27</f>
        <v>0.65142900762375233</v>
      </c>
      <c r="BB29" s="20">
        <f>BB28/BB27</f>
        <v>0.72071683180993851</v>
      </c>
      <c r="BC29" s="47"/>
      <c r="BD29" s="20">
        <f>BD28/BD27</f>
        <v>0.41236427375210083</v>
      </c>
      <c r="BE29" s="20">
        <f>BE28/BE27</f>
        <v>1.3637323842439542</v>
      </c>
      <c r="BF29" s="47"/>
      <c r="BG29" s="20">
        <f>BG28/BG27</f>
        <v>0.61671494543135597</v>
      </c>
      <c r="BH29" s="20">
        <f>BH28/BH27</f>
        <v>0.75512763198310306</v>
      </c>
      <c r="BI29" s="47"/>
      <c r="BJ29" s="20">
        <f>BJ28/BJ27</f>
        <v>1.0350026124929894</v>
      </c>
      <c r="BK29" s="20">
        <f>BK28/BK27</f>
        <v>0.51119937453130104</v>
      </c>
      <c r="BL29" s="47"/>
      <c r="BM29" s="20">
        <f>BM28/BM27</f>
        <v>0.63547772313030426</v>
      </c>
      <c r="BN29" s="20">
        <f>BN28/BN27</f>
        <v>0.7195018972996059</v>
      </c>
      <c r="BO29" s="47"/>
      <c r="BP29" s="20">
        <f>BP28/BP27</f>
        <v>0.56452234467779128</v>
      </c>
      <c r="BQ29" s="20">
        <f>BQ28/BQ27</f>
        <v>0.86172031012653394</v>
      </c>
      <c r="BR29" s="47"/>
      <c r="BS29" s="20">
        <f>BS28/BS27</f>
        <v>0.62888639092347243</v>
      </c>
      <c r="BT29" s="20">
        <f>BT28/BT27</f>
        <v>0.73401797477745667</v>
      </c>
      <c r="BU29" s="47"/>
      <c r="BV29" s="20">
        <f>BV28/BV27</f>
        <v>0.72225814481301542</v>
      </c>
      <c r="BW29" s="20">
        <f>BW28/BW27</f>
        <v>0.9355997848663824</v>
      </c>
      <c r="BX29" s="47"/>
      <c r="BY29" s="20">
        <f>BY28/BY27</f>
        <v>0.63428942171875569</v>
      </c>
      <c r="BZ29" s="20">
        <f>BZ28/BZ27</f>
        <v>0.75090136072299152</v>
      </c>
      <c r="CA29" s="47"/>
      <c r="CB29" s="6"/>
    </row>
    <row r="30" spans="1:80" s="1" customFormat="1" ht="19.5" customHeight="1">
      <c r="A30" s="164" t="s">
        <v>89</v>
      </c>
      <c r="B30" s="114" t="s">
        <v>31</v>
      </c>
      <c r="C30" s="32" t="s">
        <v>42</v>
      </c>
      <c r="D30" s="22">
        <v>22202427</v>
      </c>
      <c r="E30" s="22">
        <v>31701567</v>
      </c>
      <c r="F30" s="22">
        <v>41919757</v>
      </c>
      <c r="G30" s="22">
        <v>26497843</v>
      </c>
      <c r="H30" s="22">
        <v>26216018</v>
      </c>
      <c r="I30" s="22">
        <v>21155426</v>
      </c>
      <c r="J30" s="22">
        <v>20954814</v>
      </c>
      <c r="K30" s="22">
        <v>1418509</v>
      </c>
      <c r="L30" s="22">
        <v>1673984</v>
      </c>
      <c r="M30" s="43">
        <f t="shared" si="0"/>
        <v>18.010107796284693</v>
      </c>
      <c r="N30" s="23">
        <f>Q30-K30</f>
        <v>1628697</v>
      </c>
      <c r="O30" s="22">
        <f>R30-L30</f>
        <v>2121669</v>
      </c>
      <c r="P30" s="15">
        <f t="shared" si="1"/>
        <v>30.267876713716557</v>
      </c>
      <c r="Q30" s="22">
        <v>3047206</v>
      </c>
      <c r="R30" s="22">
        <v>3795653</v>
      </c>
      <c r="S30" s="15">
        <f t="shared" si="2"/>
        <v>24.561746071647271</v>
      </c>
      <c r="T30" s="23">
        <f>W30-Q30</f>
        <v>1471022</v>
      </c>
      <c r="U30" s="22">
        <f>X30-R30</f>
        <v>2188905</v>
      </c>
      <c r="V30" s="15">
        <f t="shared" ref="V30:V31" si="167">(U30/T30-1)*100</f>
        <v>48.801649465473673</v>
      </c>
      <c r="W30" s="22">
        <v>4518228</v>
      </c>
      <c r="X30" s="22">
        <v>5984558</v>
      </c>
      <c r="Y30" s="15">
        <f t="shared" ref="Y30:Y31" si="168">(X30/W30-1)*100</f>
        <v>32.453652183997804</v>
      </c>
      <c r="Z30" s="23">
        <f>AC30-W30</f>
        <v>2085942</v>
      </c>
      <c r="AA30" s="22">
        <f>AD30-X30</f>
        <v>2033417</v>
      </c>
      <c r="AB30" s="15">
        <f t="shared" ref="AB30:AB31" si="169">(AA30/Z30-1)*100</f>
        <v>-2.5180470022656443</v>
      </c>
      <c r="AC30" s="22">
        <v>6604170</v>
      </c>
      <c r="AD30" s="22">
        <v>8017975</v>
      </c>
      <c r="AE30" s="15">
        <f t="shared" ref="AE30:AE31" si="170">(AD30/AC30-1)*100</f>
        <v>21.407762065482871</v>
      </c>
      <c r="AF30" s="23">
        <f>AI30-AC30</f>
        <v>1292894</v>
      </c>
      <c r="AG30" s="22">
        <f>AJ30-AD30</f>
        <v>3365667</v>
      </c>
      <c r="AH30" s="15">
        <f t="shared" ref="AH30:AH31" si="171">(AG30/AF30-1)*100</f>
        <v>160.32041296502263</v>
      </c>
      <c r="AI30" s="22">
        <v>7897064</v>
      </c>
      <c r="AJ30" s="22">
        <v>11383642</v>
      </c>
      <c r="AK30" s="15">
        <f t="shared" ref="AK30:AK31" si="172">(AJ30/AI30-1)*100</f>
        <v>44.150307000171196</v>
      </c>
      <c r="AL30" s="23">
        <f>AO30-AI30</f>
        <v>1392101</v>
      </c>
      <c r="AM30" s="22">
        <f>AP30-AJ30</f>
        <v>3142785</v>
      </c>
      <c r="AN30" s="15">
        <f t="shared" ref="AN30:AN31" si="173">(AM30/AL30-1)*100</f>
        <v>125.75840402384597</v>
      </c>
      <c r="AO30" s="22">
        <v>9289165</v>
      </c>
      <c r="AP30" s="22">
        <v>14526427</v>
      </c>
      <c r="AQ30" s="15">
        <f t="shared" ref="AQ30:AQ31" si="174">(AP30/AO30-1)*100</f>
        <v>56.380331278430297</v>
      </c>
      <c r="AR30" s="23">
        <f>AU30-AO30</f>
        <v>1856485</v>
      </c>
      <c r="AS30" s="22">
        <f>AV30-AP30</f>
        <v>2791133</v>
      </c>
      <c r="AT30" s="15">
        <f t="shared" ref="AT30:AT31" si="175">(AS30/AR30-1)*100</f>
        <v>50.345033760035761</v>
      </c>
      <c r="AU30" s="22">
        <v>11145650</v>
      </c>
      <c r="AV30" s="22">
        <v>17317560</v>
      </c>
      <c r="AW30" s="15">
        <f t="shared" ref="AW30:AW31" si="176">(AV30/AU30-1)*100</f>
        <v>55.37505663644562</v>
      </c>
      <c r="AX30" s="23">
        <f>BA30-AU30</f>
        <v>1186516</v>
      </c>
      <c r="AY30" s="22">
        <f>BB30-AV30</f>
        <v>3024269</v>
      </c>
      <c r="AZ30" s="15">
        <f t="shared" ref="AZ30:AZ31" si="177">(AY30/AX30-1)*100</f>
        <v>154.88649120618686</v>
      </c>
      <c r="BA30" s="22">
        <v>12332166</v>
      </c>
      <c r="BB30" s="22">
        <v>20341829</v>
      </c>
      <c r="BC30" s="15">
        <f t="shared" ref="BC30:BC31" si="178">(BB30/BA30-1)*100</f>
        <v>64.949360882751648</v>
      </c>
      <c r="BD30" s="23">
        <f>BG30-BA30</f>
        <v>1860762</v>
      </c>
      <c r="BE30" s="22">
        <f>BH30-BB30</f>
        <v>2398393</v>
      </c>
      <c r="BF30" s="15">
        <f t="shared" ref="BF30:BF31" si="179">(BE30/BD30-1)*100</f>
        <v>28.893055640646146</v>
      </c>
      <c r="BG30" s="22">
        <v>14192928</v>
      </c>
      <c r="BH30" s="22">
        <v>22740222</v>
      </c>
      <c r="BI30" s="15">
        <f t="shared" ref="BI30:BI31" si="180">(BH30/BG30-1)*100</f>
        <v>60.2222036214092</v>
      </c>
      <c r="BJ30" s="23">
        <f>BM30-BG30</f>
        <v>1681064</v>
      </c>
      <c r="BK30" s="22">
        <f>BN30-BH30</f>
        <v>1793295</v>
      </c>
      <c r="BL30" s="15">
        <f t="shared" ref="BL30:BL31" si="181">(BK30/BJ30-1)*100</f>
        <v>6.6761884140044581</v>
      </c>
      <c r="BM30" s="22">
        <v>15873992</v>
      </c>
      <c r="BN30" s="22">
        <v>24533517</v>
      </c>
      <c r="BO30" s="15">
        <f t="shared" ref="BO30:BO31" si="182">(BN30/BM30-1)*100</f>
        <v>54.551652791559931</v>
      </c>
      <c r="BP30" s="23">
        <f>BS30-BM30</f>
        <v>3630184</v>
      </c>
      <c r="BQ30" s="22">
        <f>BT30-BN30</f>
        <v>2380817</v>
      </c>
      <c r="BR30" s="15">
        <f t="shared" ref="BR30:BR31" si="183">(BQ30/BP30-1)*100</f>
        <v>-34.416079184966932</v>
      </c>
      <c r="BS30" s="22">
        <v>19504176</v>
      </c>
      <c r="BT30" s="22">
        <v>26914334</v>
      </c>
      <c r="BU30" s="15">
        <f t="shared" ref="BU30:BU31" si="184">(BT30/BS30-1)*100</f>
        <v>37.992673979151959</v>
      </c>
      <c r="BV30" s="23">
        <f>BY30-BS30</f>
        <v>1450638</v>
      </c>
      <c r="BW30" s="22">
        <f>BZ30-BT30</f>
        <v>1866971</v>
      </c>
      <c r="BX30" s="15">
        <f t="shared" ref="BX30:BX31" si="185">(BW30/BV30-1)*100</f>
        <v>28.699992692870314</v>
      </c>
      <c r="BY30" s="22">
        <v>20954814</v>
      </c>
      <c r="BZ30" s="22">
        <v>28781305</v>
      </c>
      <c r="CA30" s="15">
        <f t="shared" ref="CA30:CA31" si="186">(BZ30/BY30-1)*100</f>
        <v>37.349369934755792</v>
      </c>
      <c r="CB30" s="6"/>
    </row>
    <row r="31" spans="1:80" s="1" customFormat="1" ht="19.5" customHeight="1">
      <c r="A31" s="154"/>
      <c r="B31" s="115"/>
      <c r="C31" s="33" t="s">
        <v>104</v>
      </c>
      <c r="D31" s="17">
        <v>14218989</v>
      </c>
      <c r="E31" s="17">
        <v>22573080</v>
      </c>
      <c r="F31" s="17">
        <v>31153045</v>
      </c>
      <c r="G31" s="17">
        <v>19701985</v>
      </c>
      <c r="H31" s="17">
        <v>21991835</v>
      </c>
      <c r="I31" s="17">
        <v>28633126</v>
      </c>
      <c r="J31" s="17">
        <v>26632235</v>
      </c>
      <c r="K31" s="17">
        <v>1760963</v>
      </c>
      <c r="L31" s="17">
        <v>2521562</v>
      </c>
      <c r="M31" s="44">
        <f t="shared" si="0"/>
        <v>43.192219257304096</v>
      </c>
      <c r="N31" s="14">
        <f>Q31-K31</f>
        <v>1618851</v>
      </c>
      <c r="O31" s="14">
        <f>R31-L31</f>
        <v>1469288</v>
      </c>
      <c r="P31" s="18">
        <f t="shared" si="1"/>
        <v>-9.2388366810781228</v>
      </c>
      <c r="Q31" s="17">
        <v>3379814</v>
      </c>
      <c r="R31" s="17">
        <v>3990850</v>
      </c>
      <c r="S31" s="18">
        <f t="shared" si="2"/>
        <v>18.078983044629094</v>
      </c>
      <c r="T31" s="14">
        <f>W31-Q31</f>
        <v>3439333</v>
      </c>
      <c r="U31" s="14">
        <f>X31-R31</f>
        <v>3260171</v>
      </c>
      <c r="V31" s="18">
        <f t="shared" si="167"/>
        <v>-5.2092077155657783</v>
      </c>
      <c r="W31" s="17">
        <v>6819147</v>
      </c>
      <c r="X31" s="17">
        <v>7251021</v>
      </c>
      <c r="Y31" s="18">
        <f t="shared" si="168"/>
        <v>6.3332554643564576</v>
      </c>
      <c r="Z31" s="14">
        <f>AC31-W31</f>
        <v>1711603</v>
      </c>
      <c r="AA31" s="14">
        <f>AD31-X31</f>
        <v>2449039</v>
      </c>
      <c r="AB31" s="18">
        <f t="shared" si="169"/>
        <v>43.084523689196615</v>
      </c>
      <c r="AC31" s="17">
        <v>8530750</v>
      </c>
      <c r="AD31" s="17">
        <v>9700060</v>
      </c>
      <c r="AE31" s="18">
        <f t="shared" si="170"/>
        <v>13.707001142924135</v>
      </c>
      <c r="AF31" s="14">
        <f>AI31-AC31</f>
        <v>1133951</v>
      </c>
      <c r="AG31" s="14">
        <f>AJ31-AD31</f>
        <v>3599266</v>
      </c>
      <c r="AH31" s="18">
        <f t="shared" si="171"/>
        <v>217.40930604585208</v>
      </c>
      <c r="AI31" s="17">
        <v>9664701</v>
      </c>
      <c r="AJ31" s="17">
        <v>13299326</v>
      </c>
      <c r="AK31" s="18">
        <f t="shared" si="172"/>
        <v>37.607216198411095</v>
      </c>
      <c r="AL31" s="14">
        <f>AO31-AI31</f>
        <v>3873431</v>
      </c>
      <c r="AM31" s="14">
        <f>AP31-AJ31</f>
        <v>2082590</v>
      </c>
      <c r="AN31" s="18">
        <f t="shared" si="173"/>
        <v>-46.233971897266265</v>
      </c>
      <c r="AO31" s="17">
        <v>13538132</v>
      </c>
      <c r="AP31" s="17">
        <v>15381916</v>
      </c>
      <c r="AQ31" s="18">
        <f t="shared" si="174"/>
        <v>13.619190594389231</v>
      </c>
      <c r="AR31" s="14">
        <f>AU31-AO31</f>
        <v>2260697</v>
      </c>
      <c r="AS31" s="14">
        <f>AV31-AP31</f>
        <v>2281293</v>
      </c>
      <c r="AT31" s="18">
        <f t="shared" si="175"/>
        <v>0.9110464604500379</v>
      </c>
      <c r="AU31" s="17">
        <v>15798829</v>
      </c>
      <c r="AV31" s="17">
        <v>17663209</v>
      </c>
      <c r="AW31" s="18">
        <f t="shared" si="176"/>
        <v>11.800748017463825</v>
      </c>
      <c r="AX31" s="14">
        <f>BA31-AU31</f>
        <v>2330889</v>
      </c>
      <c r="AY31" s="14">
        <f>BB31-AV31</f>
        <v>2979389</v>
      </c>
      <c r="AZ31" s="18">
        <f t="shared" si="177"/>
        <v>27.822002677948209</v>
      </c>
      <c r="BA31" s="17">
        <v>18129718</v>
      </c>
      <c r="BB31" s="17">
        <v>20642598</v>
      </c>
      <c r="BC31" s="18">
        <f t="shared" si="178"/>
        <v>13.860557566311837</v>
      </c>
      <c r="BD31" s="14">
        <f>BG31-BA31</f>
        <v>2235425</v>
      </c>
      <c r="BE31" s="14">
        <f>BH31-BB31</f>
        <v>2846429</v>
      </c>
      <c r="BF31" s="18">
        <f t="shared" si="179"/>
        <v>27.332789066955954</v>
      </c>
      <c r="BG31" s="17">
        <v>20365143</v>
      </c>
      <c r="BH31" s="17">
        <v>23489027</v>
      </c>
      <c r="BI31" s="18">
        <f t="shared" si="180"/>
        <v>15.339366878003258</v>
      </c>
      <c r="BJ31" s="14">
        <f>BM31-BG31</f>
        <v>2582604</v>
      </c>
      <c r="BK31" s="14">
        <f>BN31-BH31</f>
        <v>2604181</v>
      </c>
      <c r="BL31" s="18">
        <f t="shared" si="181"/>
        <v>0.83547458301775901</v>
      </c>
      <c r="BM31" s="17">
        <v>22947747</v>
      </c>
      <c r="BN31" s="17">
        <v>26093208</v>
      </c>
      <c r="BO31" s="18">
        <f t="shared" si="182"/>
        <v>13.707058039292486</v>
      </c>
      <c r="BP31" s="14">
        <f>BS31-BM31</f>
        <v>2310493</v>
      </c>
      <c r="BQ31" s="14">
        <f>BT31-BN31</f>
        <v>1704360</v>
      </c>
      <c r="BR31" s="18">
        <f t="shared" si="183"/>
        <v>-26.233924967528576</v>
      </c>
      <c r="BS31" s="17">
        <v>25258240</v>
      </c>
      <c r="BT31" s="17">
        <v>27797568</v>
      </c>
      <c r="BU31" s="18">
        <f t="shared" si="184"/>
        <v>10.053463740941559</v>
      </c>
      <c r="BV31" s="14">
        <f>BY31-BS31</f>
        <v>1373995</v>
      </c>
      <c r="BW31" s="14">
        <f>BZ31-BT31</f>
        <v>1781146</v>
      </c>
      <c r="BX31" s="18">
        <f t="shared" si="185"/>
        <v>29.632640584572734</v>
      </c>
      <c r="BY31" s="17">
        <v>26632235</v>
      </c>
      <c r="BZ31" s="17">
        <v>29578714</v>
      </c>
      <c r="CA31" s="18">
        <f t="shared" si="186"/>
        <v>11.063581408019264</v>
      </c>
      <c r="CB31" s="6"/>
    </row>
    <row r="32" spans="1:80" s="1" customFormat="1" ht="19.5" customHeight="1" thickBot="1">
      <c r="A32" s="155"/>
      <c r="B32" s="116"/>
      <c r="C32" s="34" t="s">
        <v>105</v>
      </c>
      <c r="D32" s="19">
        <f t="shared" ref="D32:L32" si="187">D31/D30</f>
        <v>0.64042498597112829</v>
      </c>
      <c r="E32" s="19">
        <f t="shared" si="187"/>
        <v>0.71204934443776868</v>
      </c>
      <c r="F32" s="19">
        <f t="shared" si="187"/>
        <v>0.74315900733871143</v>
      </c>
      <c r="G32" s="19">
        <f t="shared" si="187"/>
        <v>0.74353165274622546</v>
      </c>
      <c r="H32" s="20">
        <f>H31/H30</f>
        <v>0.83887015182854996</v>
      </c>
      <c r="I32" s="20">
        <f>I31/I30</f>
        <v>1.3534648746851043</v>
      </c>
      <c r="J32" s="20">
        <f>J31/J30</f>
        <v>1.2709363585856692</v>
      </c>
      <c r="K32" s="20">
        <f t="shared" si="187"/>
        <v>1.2414182779242149</v>
      </c>
      <c r="L32" s="20">
        <f t="shared" si="187"/>
        <v>1.5063238358311668</v>
      </c>
      <c r="M32" s="46"/>
      <c r="N32" s="20">
        <f>N31/N30</f>
        <v>0.99395467665256332</v>
      </c>
      <c r="O32" s="20">
        <f>O31/O30</f>
        <v>0.69251518497937237</v>
      </c>
      <c r="P32" s="47"/>
      <c r="Q32" s="20">
        <f>Q31/Q30</f>
        <v>1.1091517934790101</v>
      </c>
      <c r="R32" s="20">
        <f>R31/R30</f>
        <v>1.0514264607433819</v>
      </c>
      <c r="S32" s="47"/>
      <c r="T32" s="20">
        <f>T31/T30</f>
        <v>2.3380568067642766</v>
      </c>
      <c r="U32" s="20">
        <f>U31/U30</f>
        <v>1.4894072607079796</v>
      </c>
      <c r="V32" s="47"/>
      <c r="W32" s="20">
        <f>W31/W30</f>
        <v>1.5092525211211121</v>
      </c>
      <c r="X32" s="20">
        <f>X31/X30</f>
        <v>1.2116218106667191</v>
      </c>
      <c r="Y32" s="47"/>
      <c r="Z32" s="20">
        <f>Z31/Z30</f>
        <v>0.82054199014162421</v>
      </c>
      <c r="AA32" s="20">
        <f>AA31/AA30</f>
        <v>1.2043958519083886</v>
      </c>
      <c r="AB32" s="47"/>
      <c r="AC32" s="20">
        <f>AC31/AC30</f>
        <v>1.2917217455032199</v>
      </c>
      <c r="AD32" s="20">
        <f>AD31/AD30</f>
        <v>1.2097892547681928</v>
      </c>
      <c r="AE32" s="47"/>
      <c r="AF32" s="20">
        <f>AF31/AF30</f>
        <v>0.87706416767345197</v>
      </c>
      <c r="AG32" s="20">
        <f>AG31/AG30</f>
        <v>1.0694064504896057</v>
      </c>
      <c r="AH32" s="47"/>
      <c r="AI32" s="20">
        <f>AI31/AI30</f>
        <v>1.223834706164215</v>
      </c>
      <c r="AJ32" s="20">
        <f>AJ31/AJ30</f>
        <v>1.1682839288164544</v>
      </c>
      <c r="AK32" s="47"/>
      <c r="AL32" s="20">
        <f>AL31/AL30</f>
        <v>2.7824353261724544</v>
      </c>
      <c r="AM32" s="20">
        <f>AM31/AM30</f>
        <v>0.66265748372860378</v>
      </c>
      <c r="AN32" s="47"/>
      <c r="AO32" s="20">
        <f>AO31/AO30</f>
        <v>1.4574110805438378</v>
      </c>
      <c r="AP32" s="20">
        <f>AP31/AP30</f>
        <v>1.0588919078311549</v>
      </c>
      <c r="AQ32" s="47"/>
      <c r="AR32" s="20">
        <f>AR31/AR30</f>
        <v>1.2177297419585937</v>
      </c>
      <c r="AS32" s="20">
        <f>AS31/AS30</f>
        <v>0.81733582742205402</v>
      </c>
      <c r="AT32" s="47"/>
      <c r="AU32" s="20">
        <f>AU31/AU30</f>
        <v>1.4174883474718836</v>
      </c>
      <c r="AV32" s="20">
        <f>AV31/AV30</f>
        <v>1.0199594515624604</v>
      </c>
      <c r="AW32" s="47"/>
      <c r="AX32" s="20">
        <f>AX31/AX30</f>
        <v>1.9644817263315455</v>
      </c>
      <c r="AY32" s="20">
        <f>AY31/AY30</f>
        <v>0.98516005024685305</v>
      </c>
      <c r="AZ32" s="47"/>
      <c r="BA32" s="20">
        <f>BA31/BA30</f>
        <v>1.4701162796543608</v>
      </c>
      <c r="BB32" s="20">
        <f>BB31/BB30</f>
        <v>1.0147857402596394</v>
      </c>
      <c r="BC32" s="47"/>
      <c r="BD32" s="20">
        <f>BD31/BD30</f>
        <v>1.2013492321962722</v>
      </c>
      <c r="BE32" s="20">
        <f>BE31/BE30</f>
        <v>1.1868067493525873</v>
      </c>
      <c r="BF32" s="47"/>
      <c r="BG32" s="20">
        <f>BG31/BG30</f>
        <v>1.4348796104651556</v>
      </c>
      <c r="BH32" s="20">
        <f>BH31/BH30</f>
        <v>1.0329286583042154</v>
      </c>
      <c r="BI32" s="47"/>
      <c r="BJ32" s="20">
        <f>BJ31/BJ30</f>
        <v>1.5362913012235109</v>
      </c>
      <c r="BK32" s="20">
        <f>BK31/BK30</f>
        <v>1.4521765799826576</v>
      </c>
      <c r="BL32" s="47"/>
      <c r="BM32" s="20">
        <f>BM31/BM30</f>
        <v>1.4456191612040625</v>
      </c>
      <c r="BN32" s="20">
        <f>BN31/BN30</f>
        <v>1.0635738854726779</v>
      </c>
      <c r="BO32" s="47"/>
      <c r="BP32" s="20">
        <f>BP31/BP30</f>
        <v>0.63646718733816243</v>
      </c>
      <c r="BQ32" s="20">
        <f>BQ31/BQ30</f>
        <v>0.71587190447648852</v>
      </c>
      <c r="BR32" s="47"/>
      <c r="BS32" s="20">
        <f>BS31/BS30</f>
        <v>1.2950170260973854</v>
      </c>
      <c r="BT32" s="20">
        <f>BT31/BT30</f>
        <v>1.0328164910192466</v>
      </c>
      <c r="BU32" s="47"/>
      <c r="BV32" s="20">
        <f>BV31/BV30</f>
        <v>0.94716600557823527</v>
      </c>
      <c r="BW32" s="20">
        <f>BW31/BW30</f>
        <v>0.95402981621032146</v>
      </c>
      <c r="BX32" s="47"/>
      <c r="BY32" s="20">
        <f>BY31/BY30</f>
        <v>1.2709363585856692</v>
      </c>
      <c r="BZ32" s="20">
        <f>BZ31/BZ30</f>
        <v>1.0277057972180206</v>
      </c>
      <c r="CA32" s="47"/>
      <c r="CB32" s="6"/>
    </row>
    <row r="33" spans="1:80" s="1" customFormat="1" ht="19.5" customHeight="1">
      <c r="A33" s="164" t="s">
        <v>90</v>
      </c>
      <c r="B33" s="114" t="s">
        <v>74</v>
      </c>
      <c r="C33" s="32" t="s">
        <v>42</v>
      </c>
      <c r="D33" s="22">
        <f>177+74061</f>
        <v>74238</v>
      </c>
      <c r="E33" s="22">
        <f>19000+125787</f>
        <v>144787</v>
      </c>
      <c r="F33" s="22">
        <f>26030+131451</f>
        <v>157481</v>
      </c>
      <c r="G33" s="22">
        <f>20000+82656</f>
        <v>102656</v>
      </c>
      <c r="H33" s="22">
        <f>22100+185940</f>
        <v>208040</v>
      </c>
      <c r="I33" s="22">
        <v>275624</v>
      </c>
      <c r="J33" s="22">
        <v>304413</v>
      </c>
      <c r="K33" s="22">
        <v>45320</v>
      </c>
      <c r="L33" s="22">
        <v>33610</v>
      </c>
      <c r="M33" s="43">
        <f t="shared" si="0"/>
        <v>-25.838481906443068</v>
      </c>
      <c r="N33" s="23">
        <f>Q33-K33</f>
        <v>6000</v>
      </c>
      <c r="O33" s="22">
        <f>R33-L33</f>
        <v>20101</v>
      </c>
      <c r="P33" s="15">
        <f t="shared" si="1"/>
        <v>235.01666666666665</v>
      </c>
      <c r="Q33" s="22">
        <v>51320</v>
      </c>
      <c r="R33" s="22">
        <v>53711</v>
      </c>
      <c r="S33" s="15">
        <f t="shared" si="2"/>
        <v>4.6590023382696799</v>
      </c>
      <c r="T33" s="23">
        <f>W33-Q33</f>
        <v>24400</v>
      </c>
      <c r="U33" s="22">
        <f>X33-R33</f>
        <v>0</v>
      </c>
      <c r="V33" s="15">
        <f t="shared" ref="V33:V34" si="188">(U33/T33-1)*100</f>
        <v>-100</v>
      </c>
      <c r="W33" s="22">
        <v>75720</v>
      </c>
      <c r="X33" s="22">
        <v>53711</v>
      </c>
      <c r="Y33" s="15">
        <f t="shared" ref="Y33:Y34" si="189">(X33/W33-1)*100</f>
        <v>-29.066296883254093</v>
      </c>
      <c r="Z33" s="23">
        <f>AC33-W33</f>
        <v>23821</v>
      </c>
      <c r="AA33" s="22">
        <f>AD33-X33</f>
        <v>16611</v>
      </c>
      <c r="AB33" s="15">
        <f t="shared" ref="AB33:AB34" si="190">(AA33/Z33-1)*100</f>
        <v>-30.267411107846019</v>
      </c>
      <c r="AC33" s="22">
        <v>99541</v>
      </c>
      <c r="AD33" s="22">
        <v>70322</v>
      </c>
      <c r="AE33" s="15">
        <f t="shared" ref="AE33:AE34" si="191">(AD33/AC33-1)*100</f>
        <v>-29.353733637395653</v>
      </c>
      <c r="AF33" s="23">
        <f>AI33-AC33</f>
        <v>22720</v>
      </c>
      <c r="AG33" s="22">
        <f>AJ33-AD33</f>
        <v>10015</v>
      </c>
      <c r="AH33" s="15">
        <f t="shared" ref="AH33:AH34" si="192">(AG33/AF33-1)*100</f>
        <v>-55.919894366197177</v>
      </c>
      <c r="AI33" s="22">
        <v>122261</v>
      </c>
      <c r="AJ33" s="22">
        <v>80337</v>
      </c>
      <c r="AK33" s="15">
        <f t="shared" ref="AK33:AK34" si="193">(AJ33/AI33-1)*100</f>
        <v>-34.290575081178787</v>
      </c>
      <c r="AL33" s="23">
        <f>AO33-AI33</f>
        <v>34049</v>
      </c>
      <c r="AM33" s="22">
        <f>AP33-AJ33</f>
        <v>23860</v>
      </c>
      <c r="AN33" s="15">
        <f t="shared" ref="AN33:AN34" si="194">(AM33/AL33-1)*100</f>
        <v>-29.924520543921997</v>
      </c>
      <c r="AO33" s="22">
        <v>156310</v>
      </c>
      <c r="AP33" s="22">
        <v>104197</v>
      </c>
      <c r="AQ33" s="15">
        <f t="shared" ref="AQ33:AQ34" si="195">(AP33/AO33-1)*100</f>
        <v>-33.339517625231906</v>
      </c>
      <c r="AR33" s="23">
        <f>AU33-AO33</f>
        <v>2158</v>
      </c>
      <c r="AS33" s="22">
        <f>AV33-AP33</f>
        <v>1000</v>
      </c>
      <c r="AT33" s="15">
        <f t="shared" ref="AT33:AT34" si="196">(AS33/AR33-1)*100</f>
        <v>-53.660797034291008</v>
      </c>
      <c r="AU33" s="22">
        <v>158468</v>
      </c>
      <c r="AV33" s="22">
        <v>105197</v>
      </c>
      <c r="AW33" s="15">
        <f t="shared" ref="AW33:AW34" si="197">(AV33/AU33-1)*100</f>
        <v>-33.616250599490115</v>
      </c>
      <c r="AX33" s="23">
        <f>BA33-AU33</f>
        <v>21240</v>
      </c>
      <c r="AY33" s="22">
        <f>BB33-AV33</f>
        <v>20731</v>
      </c>
      <c r="AZ33" s="15">
        <f t="shared" ref="AZ33:AZ34" si="198">(AY33/AX33-1)*100</f>
        <v>-2.3964218455743924</v>
      </c>
      <c r="BA33" s="22">
        <v>179708</v>
      </c>
      <c r="BB33" s="22">
        <v>125928</v>
      </c>
      <c r="BC33" s="15">
        <f t="shared" ref="BC33:BC34" si="199">(BB33/BA33-1)*100</f>
        <v>-29.926324927103963</v>
      </c>
      <c r="BD33" s="23">
        <f>BG33-BA33</f>
        <v>30270</v>
      </c>
      <c r="BE33" s="22">
        <f>BH33-BB33</f>
        <v>1011</v>
      </c>
      <c r="BF33" s="15">
        <f t="shared" ref="BF33:BF34" si="200">(BE33/BD33-1)*100</f>
        <v>-96.660059464816655</v>
      </c>
      <c r="BG33" s="22">
        <v>209978</v>
      </c>
      <c r="BH33" s="22">
        <v>126939</v>
      </c>
      <c r="BI33" s="15">
        <f t="shared" ref="BI33:BI34" si="201">(BH33/BG33-1)*100</f>
        <v>-39.546523921553685</v>
      </c>
      <c r="BJ33" s="23">
        <f>BM33-BG33</f>
        <v>20753</v>
      </c>
      <c r="BK33" s="22">
        <f>BN33-BH33</f>
        <v>2003</v>
      </c>
      <c r="BL33" s="15">
        <f t="shared" ref="BL33:BL34" si="202">(BK33/BJ33-1)*100</f>
        <v>-90.348383366260293</v>
      </c>
      <c r="BM33" s="22">
        <v>230731</v>
      </c>
      <c r="BN33" s="22">
        <v>128942</v>
      </c>
      <c r="BO33" s="15">
        <f t="shared" ref="BO33:BO34" si="203">(BN33/BM33-1)*100</f>
        <v>-44.115875196657584</v>
      </c>
      <c r="BP33" s="23">
        <f>BS33-BM33</f>
        <v>51522</v>
      </c>
      <c r="BQ33" s="22">
        <f>BT33-BN33</f>
        <v>61616</v>
      </c>
      <c r="BR33" s="15">
        <f t="shared" ref="BR33:BR34" si="204">(BQ33/BP33-1)*100</f>
        <v>19.591630759675471</v>
      </c>
      <c r="BS33" s="22">
        <v>282253</v>
      </c>
      <c r="BT33" s="22">
        <v>190558</v>
      </c>
      <c r="BU33" s="15">
        <f t="shared" ref="BU33:BU34" si="205">(BT33/BS33-1)*100</f>
        <v>-32.486811477645936</v>
      </c>
      <c r="BV33" s="23">
        <f>BY33-BS33</f>
        <v>22160</v>
      </c>
      <c r="BW33" s="22">
        <f>BZ33-BT33</f>
        <v>2000</v>
      </c>
      <c r="BX33" s="15">
        <f t="shared" ref="BX33:BX34" si="206">(BW33/BV33-1)*100</f>
        <v>-90.974729241877256</v>
      </c>
      <c r="BY33" s="22">
        <v>304413</v>
      </c>
      <c r="BZ33" s="22">
        <v>192558</v>
      </c>
      <c r="CA33" s="15">
        <f t="shared" ref="CA33:CA34" si="207">(BZ33/BY33-1)*100</f>
        <v>-36.744488573089853</v>
      </c>
      <c r="CB33" s="6"/>
    </row>
    <row r="34" spans="1:80" s="1" customFormat="1" ht="19.5" customHeight="1">
      <c r="A34" s="154"/>
      <c r="B34" s="115"/>
      <c r="C34" s="33" t="s">
        <v>104</v>
      </c>
      <c r="D34" s="17">
        <f>1303+201754</f>
        <v>203057</v>
      </c>
      <c r="E34" s="17">
        <f>126480+357075</f>
        <v>483555</v>
      </c>
      <c r="F34" s="17">
        <f>206316+397541</f>
        <v>603857</v>
      </c>
      <c r="G34" s="17">
        <f>128010+234450</f>
        <v>362460</v>
      </c>
      <c r="H34" s="17">
        <f>172020+609137</f>
        <v>781157</v>
      </c>
      <c r="I34" s="17">
        <v>1143796</v>
      </c>
      <c r="J34" s="17">
        <v>1239544</v>
      </c>
      <c r="K34" s="17">
        <v>162972</v>
      </c>
      <c r="L34" s="17">
        <v>120685</v>
      </c>
      <c r="M34" s="44">
        <f t="shared" si="0"/>
        <v>-25.947402007706842</v>
      </c>
      <c r="N34" s="14">
        <f>Q34-K34</f>
        <v>59250</v>
      </c>
      <c r="O34" s="14">
        <f>R34-L34</f>
        <v>76725</v>
      </c>
      <c r="P34" s="18">
        <f t="shared" si="1"/>
        <v>29.49367088607595</v>
      </c>
      <c r="Q34" s="17">
        <v>222222</v>
      </c>
      <c r="R34" s="17">
        <v>197410</v>
      </c>
      <c r="S34" s="18">
        <f t="shared" si="2"/>
        <v>-11.165411165411165</v>
      </c>
      <c r="T34" s="14">
        <f>W34-Q34</f>
        <v>87508</v>
      </c>
      <c r="U34" s="14">
        <f>X34-R34</f>
        <v>0</v>
      </c>
      <c r="V34" s="18">
        <f t="shared" si="188"/>
        <v>-100</v>
      </c>
      <c r="W34" s="17">
        <v>309730</v>
      </c>
      <c r="X34" s="17">
        <v>197410</v>
      </c>
      <c r="Y34" s="18">
        <f t="shared" si="189"/>
        <v>-36.263842701707937</v>
      </c>
      <c r="Z34" s="14">
        <f>AC34-W34</f>
        <v>112599</v>
      </c>
      <c r="AA34" s="14">
        <f>AD34-X34</f>
        <v>55147</v>
      </c>
      <c r="AB34" s="18">
        <f t="shared" si="190"/>
        <v>-51.023543725965595</v>
      </c>
      <c r="AC34" s="17">
        <v>422329</v>
      </c>
      <c r="AD34" s="17">
        <v>252557</v>
      </c>
      <c r="AE34" s="18">
        <f t="shared" si="191"/>
        <v>-40.198991781288996</v>
      </c>
      <c r="AF34" s="14">
        <f>AI34-AC34</f>
        <v>98208</v>
      </c>
      <c r="AG34" s="14">
        <f>AJ34-AD34</f>
        <v>60044</v>
      </c>
      <c r="AH34" s="18">
        <f t="shared" si="192"/>
        <v>-38.860377973281203</v>
      </c>
      <c r="AI34" s="17">
        <v>520537</v>
      </c>
      <c r="AJ34" s="17">
        <v>312601</v>
      </c>
      <c r="AK34" s="18">
        <f t="shared" si="193"/>
        <v>-39.946439926460563</v>
      </c>
      <c r="AL34" s="14">
        <f>AO34-AI34</f>
        <v>115878</v>
      </c>
      <c r="AM34" s="14">
        <f>AP34-AJ34</f>
        <v>72151</v>
      </c>
      <c r="AN34" s="18">
        <f t="shared" si="194"/>
        <v>-37.73537686187197</v>
      </c>
      <c r="AO34" s="17">
        <v>636415</v>
      </c>
      <c r="AP34" s="17">
        <v>384752</v>
      </c>
      <c r="AQ34" s="18">
        <f t="shared" si="195"/>
        <v>-39.543851103446649</v>
      </c>
      <c r="AR34" s="14">
        <f>AU34-AO34</f>
        <v>14279</v>
      </c>
      <c r="AS34" s="14">
        <f>AV34-AP34</f>
        <v>5940</v>
      </c>
      <c r="AT34" s="18">
        <f t="shared" si="196"/>
        <v>-58.400448210659015</v>
      </c>
      <c r="AU34" s="17">
        <v>650694</v>
      </c>
      <c r="AV34" s="17">
        <v>390692</v>
      </c>
      <c r="AW34" s="18">
        <f t="shared" si="197"/>
        <v>-39.957645221870806</v>
      </c>
      <c r="AX34" s="14">
        <f>BA34-AU34</f>
        <v>100342</v>
      </c>
      <c r="AY34" s="14">
        <f>BB34-AV34</f>
        <v>67382</v>
      </c>
      <c r="AZ34" s="18">
        <f t="shared" si="198"/>
        <v>-32.847660999382114</v>
      </c>
      <c r="BA34" s="17">
        <v>751036</v>
      </c>
      <c r="BB34" s="17">
        <v>458074</v>
      </c>
      <c r="BC34" s="18">
        <f t="shared" si="199"/>
        <v>-39.007717339781308</v>
      </c>
      <c r="BD34" s="14">
        <f>BG34-BA34</f>
        <v>132635</v>
      </c>
      <c r="BE34" s="14">
        <f>BH34-BB34</f>
        <v>6645</v>
      </c>
      <c r="BF34" s="18">
        <f t="shared" si="200"/>
        <v>-94.990010178308893</v>
      </c>
      <c r="BG34" s="17">
        <v>883671</v>
      </c>
      <c r="BH34" s="17">
        <v>464719</v>
      </c>
      <c r="BI34" s="18">
        <f t="shared" si="201"/>
        <v>-47.410405003672182</v>
      </c>
      <c r="BJ34" s="14">
        <f>BM34-BG34</f>
        <v>80892</v>
      </c>
      <c r="BK34" s="14">
        <f>BN34-BH34</f>
        <v>12961</v>
      </c>
      <c r="BL34" s="18">
        <f t="shared" si="202"/>
        <v>-83.977401968056171</v>
      </c>
      <c r="BM34" s="17">
        <v>964563</v>
      </c>
      <c r="BN34" s="17">
        <v>477680</v>
      </c>
      <c r="BO34" s="18">
        <f t="shared" si="203"/>
        <v>-50.477055412658366</v>
      </c>
      <c r="BP34" s="14">
        <f>BS34-BM34</f>
        <v>184889</v>
      </c>
      <c r="BQ34" s="14">
        <f>BT34-BN34</f>
        <v>212479</v>
      </c>
      <c r="BR34" s="18">
        <f t="shared" si="204"/>
        <v>14.922466993709737</v>
      </c>
      <c r="BS34" s="17">
        <v>1149452</v>
      </c>
      <c r="BT34" s="17">
        <v>690159</v>
      </c>
      <c r="BU34" s="18">
        <f t="shared" si="205"/>
        <v>-39.957562386250146</v>
      </c>
      <c r="BV34" s="14">
        <f>BY34-BS34</f>
        <v>90092</v>
      </c>
      <c r="BW34" s="14">
        <f>BZ34-BT34</f>
        <v>11975</v>
      </c>
      <c r="BX34" s="18">
        <f t="shared" si="206"/>
        <v>-86.708031789726064</v>
      </c>
      <c r="BY34" s="17">
        <v>1239544</v>
      </c>
      <c r="BZ34" s="17">
        <v>702134</v>
      </c>
      <c r="CA34" s="18">
        <f t="shared" si="207"/>
        <v>-43.355459749714406</v>
      </c>
      <c r="CB34" s="6"/>
    </row>
    <row r="35" spans="1:80" s="1" customFormat="1" ht="19.5" customHeight="1" thickBot="1">
      <c r="A35" s="155"/>
      <c r="B35" s="116"/>
      <c r="C35" s="34" t="s">
        <v>105</v>
      </c>
      <c r="D35" s="19">
        <f t="shared" ref="D35:L35" si="208">D34/D33</f>
        <v>2.7352164659608289</v>
      </c>
      <c r="E35" s="19">
        <f t="shared" si="208"/>
        <v>3.3397680731004855</v>
      </c>
      <c r="F35" s="19">
        <f t="shared" si="208"/>
        <v>3.8344752700325753</v>
      </c>
      <c r="G35" s="19">
        <f t="shared" si="208"/>
        <v>3.5308213840399003</v>
      </c>
      <c r="H35" s="20">
        <f>H34/H33</f>
        <v>3.754840415304749</v>
      </c>
      <c r="I35" s="20">
        <f>I34/I33</f>
        <v>4.1498418134850379</v>
      </c>
      <c r="J35" s="20">
        <f>J34/J33</f>
        <v>4.0719154569614311</v>
      </c>
      <c r="K35" s="20">
        <f t="shared" si="208"/>
        <v>3.5960282436010593</v>
      </c>
      <c r="L35" s="20">
        <f t="shared" si="208"/>
        <v>3.5907468015471586</v>
      </c>
      <c r="M35" s="46"/>
      <c r="N35" s="20">
        <f>N34/N33</f>
        <v>9.875</v>
      </c>
      <c r="O35" s="20">
        <f>O34/O33</f>
        <v>3.8169742798865727</v>
      </c>
      <c r="P35" s="47"/>
      <c r="Q35" s="20">
        <f>Q34/Q33</f>
        <v>4.3301247077162897</v>
      </c>
      <c r="R35" s="20">
        <f>R34/R33</f>
        <v>3.6754109958853864</v>
      </c>
      <c r="S35" s="47"/>
      <c r="T35" s="20">
        <f>T34/T33</f>
        <v>3.5863934426229509</v>
      </c>
      <c r="U35" s="20" t="e">
        <f>U34/U33</f>
        <v>#DIV/0!</v>
      </c>
      <c r="V35" s="47"/>
      <c r="W35" s="20">
        <f>W34/W33</f>
        <v>4.090464870575806</v>
      </c>
      <c r="X35" s="20">
        <f>X34/X33</f>
        <v>3.6754109958853864</v>
      </c>
      <c r="Y35" s="47"/>
      <c r="Z35" s="20">
        <f>Z34/Z33</f>
        <v>4.7268796440115866</v>
      </c>
      <c r="AA35" s="20">
        <f>AA34/AA33</f>
        <v>3.3199084943711998</v>
      </c>
      <c r="AB35" s="47"/>
      <c r="AC35" s="20">
        <f>AC34/AC33</f>
        <v>4.2427642880822978</v>
      </c>
      <c r="AD35" s="20">
        <f>AD34/AD33</f>
        <v>3.5914365347970763</v>
      </c>
      <c r="AE35" s="47"/>
      <c r="AF35" s="20">
        <f>AF34/AF33</f>
        <v>4.3225352112676054</v>
      </c>
      <c r="AG35" s="20">
        <f>AG34/AG33</f>
        <v>5.9954068896655022</v>
      </c>
      <c r="AH35" s="47"/>
      <c r="AI35" s="20">
        <f>AI34/AI33</f>
        <v>4.2575882742657098</v>
      </c>
      <c r="AJ35" s="20">
        <f>AJ34/AJ33</f>
        <v>3.8911211521465825</v>
      </c>
      <c r="AK35" s="47"/>
      <c r="AL35" s="20">
        <f>AL34/AL33</f>
        <v>3.403271755411319</v>
      </c>
      <c r="AM35" s="20">
        <f>AM34/AM33</f>
        <v>3.0239312657166808</v>
      </c>
      <c r="AN35" s="47"/>
      <c r="AO35" s="20">
        <f>AO34/AO33</f>
        <v>4.0714925468620047</v>
      </c>
      <c r="AP35" s="20">
        <f>AP34/AP33</f>
        <v>3.6925439312072323</v>
      </c>
      <c r="AQ35" s="47"/>
      <c r="AR35" s="20">
        <f>AR34/AR33</f>
        <v>6.6167747914735866</v>
      </c>
      <c r="AS35" s="20">
        <f>AS34/AS33</f>
        <v>5.94</v>
      </c>
      <c r="AT35" s="47"/>
      <c r="AU35" s="20">
        <f>AU34/AU33</f>
        <v>4.1061539238205818</v>
      </c>
      <c r="AV35" s="20">
        <f>AV34/AV33</f>
        <v>3.713908191298231</v>
      </c>
      <c r="AW35" s="47"/>
      <c r="AX35" s="20">
        <f>AX34/AX33</f>
        <v>4.7241996233521659</v>
      </c>
      <c r="AY35" s="20">
        <f>AY34/AY33</f>
        <v>3.2503014808740534</v>
      </c>
      <c r="AZ35" s="47"/>
      <c r="BA35" s="20">
        <f>BA34/BA33</f>
        <v>4.1792018162797424</v>
      </c>
      <c r="BB35" s="20">
        <f>BB34/BB33</f>
        <v>3.6375865573978783</v>
      </c>
      <c r="BC35" s="47"/>
      <c r="BD35" s="20">
        <f>BD34/BD33</f>
        <v>4.3817310868847041</v>
      </c>
      <c r="BE35" s="20">
        <f>BE34/BE33</f>
        <v>6.5727002967359054</v>
      </c>
      <c r="BF35" s="47"/>
      <c r="BG35" s="20">
        <f>BG34/BG33</f>
        <v>4.208398022649992</v>
      </c>
      <c r="BH35" s="20">
        <f>BH34/BH33</f>
        <v>3.6609631397757978</v>
      </c>
      <c r="BI35" s="47"/>
      <c r="BJ35" s="20">
        <f>BJ34/BJ33</f>
        <v>3.8978460945405482</v>
      </c>
      <c r="BK35" s="20">
        <f>BK34/BK33</f>
        <v>6.4707938092860706</v>
      </c>
      <c r="BL35" s="47"/>
      <c r="BM35" s="20">
        <f>BM34/BM33</f>
        <v>4.1804655637950683</v>
      </c>
      <c r="BN35" s="20">
        <f>BN34/BN33</f>
        <v>3.7046113756572723</v>
      </c>
      <c r="BO35" s="47"/>
      <c r="BP35" s="20">
        <f>BP34/BP33</f>
        <v>3.5885446993517331</v>
      </c>
      <c r="BQ35" s="20">
        <f>BQ34/BQ33</f>
        <v>3.4484387172163076</v>
      </c>
      <c r="BR35" s="47"/>
      <c r="BS35" s="20">
        <f>BS34/BS33</f>
        <v>4.0724172993732575</v>
      </c>
      <c r="BT35" s="20">
        <f>BT34/BT33</f>
        <v>3.6217791958353889</v>
      </c>
      <c r="BU35" s="47"/>
      <c r="BV35" s="20">
        <f>BV34/BV33</f>
        <v>4.0655234657039712</v>
      </c>
      <c r="BW35" s="20">
        <f>BW34/BW33</f>
        <v>5.9874999999999998</v>
      </c>
      <c r="BX35" s="47"/>
      <c r="BY35" s="20">
        <f>BY34/BY33</f>
        <v>4.0719154569614311</v>
      </c>
      <c r="BZ35" s="20">
        <f>BZ34/BZ33</f>
        <v>3.6463507099159735</v>
      </c>
      <c r="CA35" s="47"/>
      <c r="CB35" s="6"/>
    </row>
    <row r="36" spans="1:80" s="1" customFormat="1" ht="19.5" customHeight="1">
      <c r="A36" s="164" t="s">
        <v>91</v>
      </c>
      <c r="B36" s="133">
        <v>2820</v>
      </c>
      <c r="C36" s="32" t="s">
        <v>42</v>
      </c>
      <c r="D36" s="22">
        <v>415350</v>
      </c>
      <c r="E36" s="22">
        <v>2920533</v>
      </c>
      <c r="F36" s="22">
        <v>7307850</v>
      </c>
      <c r="G36" s="22">
        <v>5692758</v>
      </c>
      <c r="H36" s="22">
        <v>11422793</v>
      </c>
      <c r="I36" s="22">
        <v>18241111</v>
      </c>
      <c r="J36" s="22">
        <v>12811411</v>
      </c>
      <c r="K36" s="22">
        <v>491279</v>
      </c>
      <c r="L36" s="22">
        <v>620020</v>
      </c>
      <c r="M36" s="43">
        <f t="shared" si="0"/>
        <v>26.205272360512044</v>
      </c>
      <c r="N36" s="23">
        <f>Q36-K36</f>
        <v>693978</v>
      </c>
      <c r="O36" s="22">
        <f>R36-L36</f>
        <v>1260000</v>
      </c>
      <c r="P36" s="15">
        <f t="shared" si="1"/>
        <v>81.561951531604748</v>
      </c>
      <c r="Q36" s="22">
        <v>1185257</v>
      </c>
      <c r="R36" s="22">
        <v>1880020</v>
      </c>
      <c r="S36" s="15">
        <f t="shared" si="2"/>
        <v>58.617076296533163</v>
      </c>
      <c r="T36" s="23">
        <f>W36-Q36</f>
        <v>1084985</v>
      </c>
      <c r="U36" s="22">
        <f>X36-R36</f>
        <v>1040001</v>
      </c>
      <c r="V36" s="15">
        <f t="shared" ref="V36:V37" si="209">(U36/T36-1)*100</f>
        <v>-4.1460481020474944</v>
      </c>
      <c r="W36" s="22">
        <v>2270242</v>
      </c>
      <c r="X36" s="22">
        <v>2920021</v>
      </c>
      <c r="Y36" s="15">
        <f t="shared" ref="Y36:Y37" si="210">(X36/W36-1)*100</f>
        <v>28.621574263889048</v>
      </c>
      <c r="Z36" s="23">
        <f>AC36-W36</f>
        <v>1226537</v>
      </c>
      <c r="AA36" s="22">
        <f>AD36-X36</f>
        <v>860053</v>
      </c>
      <c r="AB36" s="15">
        <f t="shared" ref="AB36:AB37" si="211">(AA36/Z36-1)*100</f>
        <v>-29.879571509053537</v>
      </c>
      <c r="AC36" s="22">
        <v>3496779</v>
      </c>
      <c r="AD36" s="22">
        <v>3780074</v>
      </c>
      <c r="AE36" s="15">
        <f t="shared" ref="AE36:AE37" si="212">(AD36/AC36-1)*100</f>
        <v>8.1015986426365529</v>
      </c>
      <c r="AF36" s="23">
        <f>AI36-AC36</f>
        <v>1615208</v>
      </c>
      <c r="AG36" s="22">
        <f>AJ36-AD36</f>
        <v>1222003</v>
      </c>
      <c r="AH36" s="15">
        <f t="shared" ref="AH36:AH37" si="213">(AG36/AF36-1)*100</f>
        <v>-24.343923507065345</v>
      </c>
      <c r="AI36" s="22">
        <v>5111987</v>
      </c>
      <c r="AJ36" s="22">
        <v>5002077</v>
      </c>
      <c r="AK36" s="15">
        <f t="shared" ref="AK36:AK37" si="214">(AJ36/AI36-1)*100</f>
        <v>-2.1500445912714605</v>
      </c>
      <c r="AL36" s="23">
        <f>AO36-AI36</f>
        <v>1346096</v>
      </c>
      <c r="AM36" s="22">
        <f>AP36-AJ36</f>
        <v>1541498</v>
      </c>
      <c r="AN36" s="15">
        <f t="shared" ref="AN36:AN37" si="215">(AM36/AL36-1)*100</f>
        <v>14.516200924748301</v>
      </c>
      <c r="AO36" s="22">
        <v>6458083</v>
      </c>
      <c r="AP36" s="22">
        <v>6543575</v>
      </c>
      <c r="AQ36" s="15">
        <f t="shared" ref="AQ36:AQ37" si="216">(AP36/AO36-1)*100</f>
        <v>1.3237984089086607</v>
      </c>
      <c r="AR36" s="23">
        <f>AU36-AO36</f>
        <v>622709</v>
      </c>
      <c r="AS36" s="22">
        <f>AV36-AP36</f>
        <v>2278540</v>
      </c>
      <c r="AT36" s="15">
        <f t="shared" ref="AT36:AT37" si="217">(AS36/AR36-1)*100</f>
        <v>265.9076711594019</v>
      </c>
      <c r="AU36" s="22">
        <v>7080792</v>
      </c>
      <c r="AV36" s="22">
        <v>8822115</v>
      </c>
      <c r="AW36" s="15">
        <f t="shared" ref="AW36:AW37" si="218">(AV36/AU36-1)*100</f>
        <v>24.59220663451207</v>
      </c>
      <c r="AX36" s="23">
        <f>BA36-AU36</f>
        <v>728000</v>
      </c>
      <c r="AY36" s="22">
        <f>BB36-AV36</f>
        <v>1767763</v>
      </c>
      <c r="AZ36" s="15">
        <f t="shared" ref="AZ36:AZ37" si="219">(AY36/AX36-1)*100</f>
        <v>142.82458791208791</v>
      </c>
      <c r="BA36" s="22">
        <v>7808792</v>
      </c>
      <c r="BB36" s="22">
        <v>10589878</v>
      </c>
      <c r="BC36" s="15">
        <f t="shared" ref="BC36:BC37" si="220">(BB36/BA36-1)*100</f>
        <v>35.614804440942983</v>
      </c>
      <c r="BD36" s="23">
        <f>BG36-BA36</f>
        <v>731801</v>
      </c>
      <c r="BE36" s="22">
        <f>BH36-BB36</f>
        <v>1302001</v>
      </c>
      <c r="BF36" s="15">
        <f t="shared" ref="BF36:BF37" si="221">(BE36/BD36-1)*100</f>
        <v>77.917357314351847</v>
      </c>
      <c r="BG36" s="22">
        <v>8540593</v>
      </c>
      <c r="BH36" s="22">
        <v>11891879</v>
      </c>
      <c r="BI36" s="15">
        <f t="shared" ref="BI36:BI37" si="222">(BH36/BG36-1)*100</f>
        <v>39.239500114336323</v>
      </c>
      <c r="BJ36" s="23">
        <f>BM36-BG36</f>
        <v>1080000</v>
      </c>
      <c r="BK36" s="22">
        <f>BN36-BH36</f>
        <v>1183003</v>
      </c>
      <c r="BL36" s="15">
        <f t="shared" ref="BL36:BL37" si="223">(BK36/BJ36-1)*100</f>
        <v>9.5373148148148132</v>
      </c>
      <c r="BM36" s="22">
        <v>9620593</v>
      </c>
      <c r="BN36" s="22">
        <v>13074882</v>
      </c>
      <c r="BO36" s="15">
        <f t="shared" ref="BO36:BO37" si="224">(BN36/BM36-1)*100</f>
        <v>35.905156781915636</v>
      </c>
      <c r="BP36" s="23">
        <f>BS36-BM36</f>
        <v>1642947</v>
      </c>
      <c r="BQ36" s="22">
        <f>BT36-BN36</f>
        <v>1472418</v>
      </c>
      <c r="BR36" s="15">
        <f t="shared" ref="BR36:BR37" si="225">(BQ36/BP36-1)*100</f>
        <v>-10.379458375711447</v>
      </c>
      <c r="BS36" s="22">
        <v>11263540</v>
      </c>
      <c r="BT36" s="22">
        <v>14547300</v>
      </c>
      <c r="BU36" s="15">
        <f t="shared" ref="BU36:BU37" si="226">(BT36/BS36-1)*100</f>
        <v>29.153889452161575</v>
      </c>
      <c r="BV36" s="23">
        <f>BY36-BS36</f>
        <v>1547871</v>
      </c>
      <c r="BW36" s="22">
        <f>BZ36-BT36</f>
        <v>565840</v>
      </c>
      <c r="BX36" s="15">
        <f t="shared" ref="BX36:BX37" si="227">(BW36/BV36-1)*100</f>
        <v>-63.443982088946683</v>
      </c>
      <c r="BY36" s="22">
        <v>12811411</v>
      </c>
      <c r="BZ36" s="22">
        <v>15113140</v>
      </c>
      <c r="CA36" s="15">
        <f t="shared" ref="CA36:CA37" si="228">(BZ36/BY36-1)*100</f>
        <v>17.966241189202336</v>
      </c>
      <c r="CB36" s="6"/>
    </row>
    <row r="37" spans="1:80" s="1" customFormat="1" ht="19.5" customHeight="1">
      <c r="A37" s="154"/>
      <c r="B37" s="134"/>
      <c r="C37" s="33" t="s">
        <v>104</v>
      </c>
      <c r="D37" s="17">
        <v>1485562</v>
      </c>
      <c r="E37" s="17">
        <v>3924911</v>
      </c>
      <c r="F37" s="17">
        <v>6296329</v>
      </c>
      <c r="G37" s="17">
        <v>2970742</v>
      </c>
      <c r="H37" s="17">
        <v>5682131</v>
      </c>
      <c r="I37" s="17">
        <v>9740852</v>
      </c>
      <c r="J37" s="17">
        <v>6416629</v>
      </c>
      <c r="K37" s="17">
        <v>318515</v>
      </c>
      <c r="L37" s="17">
        <v>233162</v>
      </c>
      <c r="M37" s="44">
        <f t="shared" si="0"/>
        <v>-26.797168108252357</v>
      </c>
      <c r="N37" s="14">
        <f>Q37-K37</f>
        <v>398932</v>
      </c>
      <c r="O37" s="14">
        <f>R37-L37</f>
        <v>510318</v>
      </c>
      <c r="P37" s="18">
        <f t="shared" si="1"/>
        <v>27.921049201367644</v>
      </c>
      <c r="Q37" s="17">
        <v>717447</v>
      </c>
      <c r="R37" s="17">
        <v>743480</v>
      </c>
      <c r="S37" s="18">
        <f t="shared" si="2"/>
        <v>3.628560715983209</v>
      </c>
      <c r="T37" s="14">
        <f>W37-Q37</f>
        <v>581447</v>
      </c>
      <c r="U37" s="14">
        <f>X37-R37</f>
        <v>445025</v>
      </c>
      <c r="V37" s="18">
        <f t="shared" si="209"/>
        <v>-23.46249959153629</v>
      </c>
      <c r="W37" s="17">
        <v>1298894</v>
      </c>
      <c r="X37" s="17">
        <v>1188505</v>
      </c>
      <c r="Y37" s="18">
        <f t="shared" si="210"/>
        <v>-8.498691964086369</v>
      </c>
      <c r="Z37" s="14">
        <f>AC37-W37</f>
        <v>683820</v>
      </c>
      <c r="AA37" s="14">
        <f>AD37-X37</f>
        <v>364334</v>
      </c>
      <c r="AB37" s="18">
        <f t="shared" si="211"/>
        <v>-46.720774472814483</v>
      </c>
      <c r="AC37" s="17">
        <v>1982714</v>
      </c>
      <c r="AD37" s="17">
        <v>1552839</v>
      </c>
      <c r="AE37" s="18">
        <f t="shared" si="212"/>
        <v>-21.681140093830987</v>
      </c>
      <c r="AF37" s="14">
        <f>AI37-AC37</f>
        <v>806554</v>
      </c>
      <c r="AG37" s="14">
        <f>AJ37-AD37</f>
        <v>593167</v>
      </c>
      <c r="AH37" s="18">
        <f t="shared" si="213"/>
        <v>-26.456629066373736</v>
      </c>
      <c r="AI37" s="17">
        <v>2789268</v>
      </c>
      <c r="AJ37" s="17">
        <v>2146006</v>
      </c>
      <c r="AK37" s="18">
        <f t="shared" si="214"/>
        <v>-23.062036347887695</v>
      </c>
      <c r="AL37" s="14">
        <f>AO37-AI37</f>
        <v>729867</v>
      </c>
      <c r="AM37" s="14">
        <f>AP37-AJ37</f>
        <v>826928</v>
      </c>
      <c r="AN37" s="18">
        <f t="shared" si="215"/>
        <v>13.29845026559633</v>
      </c>
      <c r="AO37" s="17">
        <v>3519135</v>
      </c>
      <c r="AP37" s="17">
        <v>2972934</v>
      </c>
      <c r="AQ37" s="18">
        <f t="shared" si="216"/>
        <v>-15.520887945475238</v>
      </c>
      <c r="AR37" s="14">
        <f>AU37-AO37</f>
        <v>291106</v>
      </c>
      <c r="AS37" s="14">
        <f>AV37-AP37</f>
        <v>1173823</v>
      </c>
      <c r="AT37" s="18">
        <f t="shared" si="217"/>
        <v>303.22872080960195</v>
      </c>
      <c r="AU37" s="17">
        <v>3810241</v>
      </c>
      <c r="AV37" s="17">
        <v>4146757</v>
      </c>
      <c r="AW37" s="18">
        <f t="shared" si="218"/>
        <v>8.831882287760795</v>
      </c>
      <c r="AX37" s="14">
        <f>BA37-AU37</f>
        <v>500366</v>
      </c>
      <c r="AY37" s="14">
        <f>BB37-AV37</f>
        <v>858666</v>
      </c>
      <c r="AZ37" s="18">
        <f t="shared" si="219"/>
        <v>71.60758324906169</v>
      </c>
      <c r="BA37" s="17">
        <v>4310607</v>
      </c>
      <c r="BB37" s="17">
        <v>5005423</v>
      </c>
      <c r="BC37" s="18">
        <f t="shared" si="220"/>
        <v>16.118750793101768</v>
      </c>
      <c r="BD37" s="14">
        <f>BG37-BA37</f>
        <v>408541</v>
      </c>
      <c r="BE37" s="14">
        <f>BH37-BB37</f>
        <v>698482</v>
      </c>
      <c r="BF37" s="18">
        <f t="shared" si="221"/>
        <v>70.969865937568088</v>
      </c>
      <c r="BG37" s="17">
        <v>4719148</v>
      </c>
      <c r="BH37" s="17">
        <v>5703905</v>
      </c>
      <c r="BI37" s="18">
        <f t="shared" si="222"/>
        <v>20.867262480430782</v>
      </c>
      <c r="BJ37" s="14">
        <f>BM37-BG37</f>
        <v>432803</v>
      </c>
      <c r="BK37" s="14">
        <f>BN37-BH37</f>
        <v>556808</v>
      </c>
      <c r="BL37" s="18">
        <f t="shared" si="223"/>
        <v>28.651603616425959</v>
      </c>
      <c r="BM37" s="17">
        <v>5151951</v>
      </c>
      <c r="BN37" s="17">
        <v>6260713</v>
      </c>
      <c r="BO37" s="18">
        <f t="shared" si="224"/>
        <v>21.521206238180458</v>
      </c>
      <c r="BP37" s="14">
        <f>BS37-BM37</f>
        <v>658881</v>
      </c>
      <c r="BQ37" s="14">
        <f>BT37-BN37</f>
        <v>834994</v>
      </c>
      <c r="BR37" s="18">
        <f t="shared" si="225"/>
        <v>26.729105862818937</v>
      </c>
      <c r="BS37" s="17">
        <v>5810832</v>
      </c>
      <c r="BT37" s="17">
        <v>7095707</v>
      </c>
      <c r="BU37" s="18">
        <f t="shared" si="226"/>
        <v>22.11172169493112</v>
      </c>
      <c r="BV37" s="14">
        <f>BY37-BS37</f>
        <v>605797</v>
      </c>
      <c r="BW37" s="14">
        <f>BZ37-BT37</f>
        <v>342946</v>
      </c>
      <c r="BX37" s="18">
        <f t="shared" si="227"/>
        <v>-43.389287170454793</v>
      </c>
      <c r="BY37" s="17">
        <v>6416629</v>
      </c>
      <c r="BZ37" s="17">
        <v>7438653</v>
      </c>
      <c r="CA37" s="18">
        <f t="shared" si="228"/>
        <v>15.927740251150556</v>
      </c>
      <c r="CB37" s="6"/>
    </row>
    <row r="38" spans="1:80" s="1" customFormat="1" ht="19.5" customHeight="1" thickBot="1">
      <c r="A38" s="155"/>
      <c r="B38" s="135"/>
      <c r="C38" s="34" t="s">
        <v>105</v>
      </c>
      <c r="D38" s="19">
        <f t="shared" ref="D38:L38" si="229">D37/D36</f>
        <v>3.5766510172143975</v>
      </c>
      <c r="E38" s="19">
        <f t="shared" si="229"/>
        <v>1.3439022945469201</v>
      </c>
      <c r="F38" s="19">
        <f t="shared" si="229"/>
        <v>0.86158432370669891</v>
      </c>
      <c r="G38" s="19">
        <f t="shared" si="229"/>
        <v>0.52184582587209927</v>
      </c>
      <c r="H38" s="20">
        <f>H37/H36</f>
        <v>0.49743797335730411</v>
      </c>
      <c r="I38" s="20">
        <f>I37/I36</f>
        <v>0.53400541227998666</v>
      </c>
      <c r="J38" s="20">
        <f>J37/J36</f>
        <v>0.50085263832375682</v>
      </c>
      <c r="K38" s="20">
        <f t="shared" si="229"/>
        <v>0.64833831692378463</v>
      </c>
      <c r="L38" s="20">
        <f t="shared" si="229"/>
        <v>0.37605561110931907</v>
      </c>
      <c r="M38" s="46"/>
      <c r="N38" s="20">
        <f>N37/N36</f>
        <v>0.57484819403496945</v>
      </c>
      <c r="O38" s="20">
        <f>O37/O36</f>
        <v>0.40501428571428572</v>
      </c>
      <c r="P38" s="47"/>
      <c r="Q38" s="20">
        <f>Q37/Q36</f>
        <v>0.60530922829394807</v>
      </c>
      <c r="R38" s="20">
        <f>R37/R36</f>
        <v>0.39546387804385058</v>
      </c>
      <c r="S38" s="47"/>
      <c r="T38" s="20">
        <f>T37/T36</f>
        <v>0.53590326133541022</v>
      </c>
      <c r="U38" s="20">
        <f>U37/U36</f>
        <v>0.42790824239592079</v>
      </c>
      <c r="V38" s="47"/>
      <c r="W38" s="20">
        <f>W37/W36</f>
        <v>0.57213900544523444</v>
      </c>
      <c r="X38" s="20">
        <f>X37/X36</f>
        <v>0.40701933308013882</v>
      </c>
      <c r="Y38" s="47"/>
      <c r="Z38" s="20">
        <f>Z37/Z36</f>
        <v>0.55752089011583017</v>
      </c>
      <c r="AA38" s="20">
        <f>AA37/AA36</f>
        <v>0.42361807935092372</v>
      </c>
      <c r="AB38" s="47"/>
      <c r="AC38" s="20">
        <f>AC37/AC36</f>
        <v>0.5670115268937499</v>
      </c>
      <c r="AD38" s="20">
        <f>AD37/AD36</f>
        <v>0.41079592621731742</v>
      </c>
      <c r="AE38" s="47"/>
      <c r="AF38" s="20">
        <f>AF37/AF36</f>
        <v>0.49934992892556251</v>
      </c>
      <c r="AG38" s="20">
        <f>AG37/AG36</f>
        <v>0.48540551864438958</v>
      </c>
      <c r="AH38" s="47"/>
      <c r="AI38" s="20">
        <f>AI37/AI36</f>
        <v>0.54563284296302006</v>
      </c>
      <c r="AJ38" s="20">
        <f>AJ37/AJ36</f>
        <v>0.42902298385250764</v>
      </c>
      <c r="AK38" s="47"/>
      <c r="AL38" s="20">
        <f>AL37/AL36</f>
        <v>0.54221021383318868</v>
      </c>
      <c r="AM38" s="20">
        <f>AM37/AM36</f>
        <v>0.53644441964893885</v>
      </c>
      <c r="AN38" s="47"/>
      <c r="AO38" s="20">
        <f>AO37/AO36</f>
        <v>0.54491944436143047</v>
      </c>
      <c r="AP38" s="20">
        <f>AP37/AP36</f>
        <v>0.45432871175160366</v>
      </c>
      <c r="AQ38" s="47"/>
      <c r="AR38" s="20">
        <f>AR37/AR36</f>
        <v>0.46748320644153207</v>
      </c>
      <c r="AS38" s="20">
        <f>AS37/AS36</f>
        <v>0.51516453518481131</v>
      </c>
      <c r="AT38" s="47"/>
      <c r="AU38" s="20">
        <f>AU37/AU36</f>
        <v>0.53810943747535589</v>
      </c>
      <c r="AV38" s="20">
        <f>AV37/AV36</f>
        <v>0.47004114092822413</v>
      </c>
      <c r="AW38" s="47"/>
      <c r="AX38" s="20">
        <f>AX37/AX36</f>
        <v>0.68731593406593405</v>
      </c>
      <c r="AY38" s="20">
        <f>AY37/AY36</f>
        <v>0.48573592727079368</v>
      </c>
      <c r="AZ38" s="47"/>
      <c r="BA38" s="20">
        <f>BA37/BA36</f>
        <v>0.55201969779704718</v>
      </c>
      <c r="BB38" s="20">
        <f>BB37/BB36</f>
        <v>0.47266106370630523</v>
      </c>
      <c r="BC38" s="47"/>
      <c r="BD38" s="20">
        <f>BD37/BD36</f>
        <v>0.55826788976784669</v>
      </c>
      <c r="BE38" s="20">
        <f>BE37/BE36</f>
        <v>0.53646809795076966</v>
      </c>
      <c r="BF38" s="47"/>
      <c r="BG38" s="20">
        <f>BG37/BG36</f>
        <v>0.55255507433734408</v>
      </c>
      <c r="BH38" s="20">
        <f>BH37/BH36</f>
        <v>0.47964707679921736</v>
      </c>
      <c r="BI38" s="47"/>
      <c r="BJ38" s="20">
        <f>BJ37/BJ36</f>
        <v>0.40074351851851853</v>
      </c>
      <c r="BK38" s="20">
        <f>BK37/BK36</f>
        <v>0.47067336262038217</v>
      </c>
      <c r="BL38" s="47"/>
      <c r="BM38" s="20">
        <f>BM37/BM36</f>
        <v>0.535512831693431</v>
      </c>
      <c r="BN38" s="20">
        <f>BN37/BN36</f>
        <v>0.4788351435982367</v>
      </c>
      <c r="BO38" s="47"/>
      <c r="BP38" s="20">
        <f>BP37/BP36</f>
        <v>0.40103606507087569</v>
      </c>
      <c r="BQ38" s="20">
        <f>BQ37/BQ36</f>
        <v>0.56709032353584377</v>
      </c>
      <c r="BR38" s="47"/>
      <c r="BS38" s="20">
        <f>BS37/BS36</f>
        <v>0.51589748871136432</v>
      </c>
      <c r="BT38" s="20">
        <f>BT37/BT36</f>
        <v>0.48776797068871885</v>
      </c>
      <c r="BU38" s="47"/>
      <c r="BV38" s="20">
        <f>BV37/BV36</f>
        <v>0.39137434579496611</v>
      </c>
      <c r="BW38" s="20">
        <f>BW37/BW36</f>
        <v>0.60608299165841939</v>
      </c>
      <c r="BX38" s="47"/>
      <c r="BY38" s="20">
        <f>BY37/BY36</f>
        <v>0.50085263832375682</v>
      </c>
      <c r="BZ38" s="20">
        <f>BZ37/BZ36</f>
        <v>0.49219771668892104</v>
      </c>
      <c r="CA38" s="47"/>
      <c r="CB38" s="6"/>
    </row>
    <row r="39" spans="1:80" s="1" customFormat="1" ht="19.5" customHeight="1">
      <c r="A39" s="164" t="s">
        <v>92</v>
      </c>
      <c r="B39" s="133" t="s">
        <v>75</v>
      </c>
      <c r="C39" s="32" t="s">
        <v>42</v>
      </c>
      <c r="D39" s="22">
        <f>100010+12399</f>
        <v>112409</v>
      </c>
      <c r="E39" s="22">
        <f>10325+3212</f>
        <v>13537</v>
      </c>
      <c r="F39" s="22">
        <f>2500+49873</f>
        <v>52373</v>
      </c>
      <c r="G39" s="22">
        <f>236500+15247</f>
        <v>251747</v>
      </c>
      <c r="H39" s="22">
        <f>54+4001+5010</f>
        <v>9065</v>
      </c>
      <c r="I39" s="22">
        <v>10000</v>
      </c>
      <c r="J39" s="22">
        <v>66392</v>
      </c>
      <c r="K39" s="22">
        <v>1000</v>
      </c>
      <c r="L39" s="22">
        <v>1020</v>
      </c>
      <c r="M39" s="43">
        <f t="shared" si="0"/>
        <v>2.0000000000000018</v>
      </c>
      <c r="N39" s="23">
        <f>Q39-K39</f>
        <v>22679</v>
      </c>
      <c r="O39" s="22">
        <f>R39-L39</f>
        <v>0</v>
      </c>
      <c r="P39" s="15">
        <f t="shared" si="1"/>
        <v>-100</v>
      </c>
      <c r="Q39" s="22">
        <v>23679</v>
      </c>
      <c r="R39" s="22">
        <v>1020</v>
      </c>
      <c r="S39" s="15">
        <f t="shared" si="2"/>
        <v>-95.692385658178139</v>
      </c>
      <c r="T39" s="23">
        <f>W39-Q39</f>
        <v>6000</v>
      </c>
      <c r="U39" s="22">
        <f>X39-R39</f>
        <v>1</v>
      </c>
      <c r="V39" s="15">
        <f t="shared" ref="V39:V40" si="230">(U39/T39-1)*100</f>
        <v>-99.983333333333334</v>
      </c>
      <c r="W39" s="22">
        <v>29679</v>
      </c>
      <c r="X39" s="22">
        <v>1021</v>
      </c>
      <c r="Y39" s="15">
        <f t="shared" ref="Y39:Y40" si="231">(X39/W39-1)*100</f>
        <v>-96.559857138043739</v>
      </c>
      <c r="Z39" s="23">
        <f>AC39-W39</f>
        <v>6500</v>
      </c>
      <c r="AA39" s="22">
        <f>AD39-X39</f>
        <v>0</v>
      </c>
      <c r="AB39" s="15">
        <f t="shared" ref="AB39:AB40" si="232">(AA39/Z39-1)*100</f>
        <v>-100</v>
      </c>
      <c r="AC39" s="22">
        <v>36179</v>
      </c>
      <c r="AD39" s="22">
        <v>1021</v>
      </c>
      <c r="AE39" s="15">
        <f t="shared" ref="AE39:AE40" si="233">(AD39/AC39-1)*100</f>
        <v>-97.177920893335909</v>
      </c>
      <c r="AF39" s="23">
        <f>AI39-AC39</f>
        <v>0</v>
      </c>
      <c r="AG39" s="22">
        <f>AJ39-AD39</f>
        <v>5000</v>
      </c>
      <c r="AH39" s="15" t="e">
        <f t="shared" ref="AH39:AH40" si="234">(AG39/AF39-1)*100</f>
        <v>#DIV/0!</v>
      </c>
      <c r="AI39" s="22">
        <v>36179</v>
      </c>
      <c r="AJ39" s="22">
        <v>6021</v>
      </c>
      <c r="AK39" s="15">
        <f t="shared" ref="AK39:AK40" si="235">(AJ39/AI39-1)*100</f>
        <v>-83.357748970397196</v>
      </c>
      <c r="AL39" s="23">
        <f>AO39-AI39</f>
        <v>1000</v>
      </c>
      <c r="AM39" s="22">
        <f>AP39-AJ39</f>
        <v>2</v>
      </c>
      <c r="AN39" s="15">
        <f t="shared" ref="AN39:AN40" si="236">(AM39/AL39-1)*100</f>
        <v>-99.8</v>
      </c>
      <c r="AO39" s="22">
        <v>37179</v>
      </c>
      <c r="AP39" s="22">
        <v>6023</v>
      </c>
      <c r="AQ39" s="15">
        <f t="shared" ref="AQ39:AQ40" si="237">(AP39/AO39-1)*100</f>
        <v>-83.799994620619174</v>
      </c>
      <c r="AR39" s="23">
        <f>AU39-AO39</f>
        <v>11000</v>
      </c>
      <c r="AS39" s="22">
        <f>AV39-AP39</f>
        <v>2000</v>
      </c>
      <c r="AT39" s="15">
        <f t="shared" ref="AT39:AT40" si="238">(AS39/AR39-1)*100</f>
        <v>-81.818181818181813</v>
      </c>
      <c r="AU39" s="22">
        <v>48179</v>
      </c>
      <c r="AV39" s="22">
        <v>8023</v>
      </c>
      <c r="AW39" s="15">
        <f t="shared" ref="AW39:AW40" si="239">(AV39/AU39-1)*100</f>
        <v>-83.34751655285497</v>
      </c>
      <c r="AX39" s="23">
        <f>BA39-AU39</f>
        <v>1000</v>
      </c>
      <c r="AY39" s="22">
        <f>BB39-AV39</f>
        <v>1</v>
      </c>
      <c r="AZ39" s="15">
        <f t="shared" ref="AZ39:AZ40" si="240">(AY39/AX39-1)*100</f>
        <v>-99.9</v>
      </c>
      <c r="BA39" s="22">
        <v>49179</v>
      </c>
      <c r="BB39" s="22">
        <v>8024</v>
      </c>
      <c r="BC39" s="15">
        <f t="shared" ref="BC39:BC40" si="241">(BB39/BA39-1)*100</f>
        <v>-83.684092803839036</v>
      </c>
      <c r="BD39" s="23">
        <f>BG39-BA39</f>
        <v>16</v>
      </c>
      <c r="BE39" s="22">
        <f>BH39-BB39</f>
        <v>0</v>
      </c>
      <c r="BF39" s="15">
        <f t="shared" ref="BF39:BF40" si="242">(BE39/BD39-1)*100</f>
        <v>-100</v>
      </c>
      <c r="BG39" s="22">
        <v>49195</v>
      </c>
      <c r="BH39" s="22">
        <v>8024</v>
      </c>
      <c r="BI39" s="15">
        <f t="shared" ref="BI39:BI40" si="243">(BH39/BG39-1)*100</f>
        <v>-83.689399329200114</v>
      </c>
      <c r="BJ39" s="23">
        <f>BM39-BG39</f>
        <v>17118</v>
      </c>
      <c r="BK39" s="22">
        <f>BN39-BH39</f>
        <v>5001</v>
      </c>
      <c r="BL39" s="15">
        <f t="shared" ref="BL39:BL40" si="244">(BK39/BJ39-1)*100</f>
        <v>-70.785138450753593</v>
      </c>
      <c r="BM39" s="22">
        <v>66313</v>
      </c>
      <c r="BN39" s="22">
        <v>13025</v>
      </c>
      <c r="BO39" s="15">
        <f t="shared" ref="BO39:BO40" si="245">(BN39/BM39-1)*100</f>
        <v>-80.358300785667964</v>
      </c>
      <c r="BP39" s="23">
        <f>BS39-BM39</f>
        <v>79</v>
      </c>
      <c r="BQ39" s="22">
        <f>BT39-BN39</f>
        <v>10000</v>
      </c>
      <c r="BR39" s="15">
        <f t="shared" ref="BR39:BR40" si="246">(BQ39/BP39-1)*100</f>
        <v>12558.227848101267</v>
      </c>
      <c r="BS39" s="22">
        <v>66392</v>
      </c>
      <c r="BT39" s="22">
        <v>23025</v>
      </c>
      <c r="BU39" s="15">
        <f t="shared" ref="BU39:BU40" si="247">(BT39/BS39-1)*100</f>
        <v>-65.319616821303768</v>
      </c>
      <c r="BV39" s="23">
        <f>BY39-BS39</f>
        <v>0</v>
      </c>
      <c r="BW39" s="22">
        <f>BZ39-BT39</f>
        <v>0</v>
      </c>
      <c r="BX39" s="15" t="e">
        <f t="shared" ref="BX39:BX40" si="248">(BW39/BV39-1)*100</f>
        <v>#DIV/0!</v>
      </c>
      <c r="BY39" s="22">
        <v>66392</v>
      </c>
      <c r="BZ39" s="22">
        <v>23025</v>
      </c>
      <c r="CA39" s="15">
        <f t="shared" ref="CA39:CA40" si="249">(BZ39/BY39-1)*100</f>
        <v>-65.319616821303768</v>
      </c>
      <c r="CB39" s="6"/>
    </row>
    <row r="40" spans="1:80" s="1" customFormat="1" ht="19.5" customHeight="1">
      <c r="A40" s="154"/>
      <c r="B40" s="134"/>
      <c r="C40" s="33" t="s">
        <v>104</v>
      </c>
      <c r="D40" s="17">
        <f>2978346+123508</f>
        <v>3101854</v>
      </c>
      <c r="E40" s="17">
        <f>324521+367082</f>
        <v>691603</v>
      </c>
      <c r="F40" s="17">
        <f>59696+287600</f>
        <v>347296</v>
      </c>
      <c r="G40" s="17">
        <f>6321220+429232</f>
        <v>6750452</v>
      </c>
      <c r="H40" s="17">
        <f>3558+96993+89500</f>
        <v>190051</v>
      </c>
      <c r="I40" s="17">
        <v>178088</v>
      </c>
      <c r="J40" s="17">
        <v>1088228</v>
      </c>
      <c r="K40" s="17">
        <v>13650</v>
      </c>
      <c r="L40" s="17">
        <v>15754</v>
      </c>
      <c r="M40" s="44">
        <f t="shared" si="0"/>
        <v>15.413919413919409</v>
      </c>
      <c r="N40" s="14">
        <f>Q40-K40</f>
        <v>301708</v>
      </c>
      <c r="O40" s="14">
        <f>R40-L40</f>
        <v>281</v>
      </c>
      <c r="P40" s="18">
        <f t="shared" si="1"/>
        <v>-99.906863589961162</v>
      </c>
      <c r="Q40" s="17">
        <v>315358</v>
      </c>
      <c r="R40" s="17">
        <v>16035</v>
      </c>
      <c r="S40" s="18">
        <f t="shared" si="2"/>
        <v>-94.915302608464032</v>
      </c>
      <c r="T40" s="14">
        <f>W40-Q40</f>
        <v>92354</v>
      </c>
      <c r="U40" s="14">
        <f>X40-R40</f>
        <v>198</v>
      </c>
      <c r="V40" s="18">
        <f t="shared" si="230"/>
        <v>-99.785607553543969</v>
      </c>
      <c r="W40" s="17">
        <v>407712</v>
      </c>
      <c r="X40" s="17">
        <v>16233</v>
      </c>
      <c r="Y40" s="18">
        <f t="shared" si="231"/>
        <v>-96.018513068048023</v>
      </c>
      <c r="Z40" s="14">
        <f>AC40-W40</f>
        <v>163930</v>
      </c>
      <c r="AA40" s="14">
        <f>AD40-X40</f>
        <v>228</v>
      </c>
      <c r="AB40" s="18">
        <f t="shared" si="232"/>
        <v>-99.860916244738604</v>
      </c>
      <c r="AC40" s="17">
        <v>571642</v>
      </c>
      <c r="AD40" s="17">
        <v>16461</v>
      </c>
      <c r="AE40" s="18">
        <f t="shared" si="233"/>
        <v>-97.120400530401895</v>
      </c>
      <c r="AF40" s="14">
        <f>AI40-AC40</f>
        <v>0</v>
      </c>
      <c r="AG40" s="14">
        <f>AJ40-AD40</f>
        <v>61750</v>
      </c>
      <c r="AH40" s="18" t="e">
        <f t="shared" si="234"/>
        <v>#DIV/0!</v>
      </c>
      <c r="AI40" s="17">
        <v>571642</v>
      </c>
      <c r="AJ40" s="17">
        <v>78211</v>
      </c>
      <c r="AK40" s="18">
        <f t="shared" si="235"/>
        <v>-86.318185157843558</v>
      </c>
      <c r="AL40" s="14">
        <f>AO40-AI40</f>
        <v>13362</v>
      </c>
      <c r="AM40" s="14">
        <f>AP40-AJ40</f>
        <v>1215</v>
      </c>
      <c r="AN40" s="18">
        <f t="shared" si="236"/>
        <v>-90.907049842837893</v>
      </c>
      <c r="AO40" s="17">
        <v>585004</v>
      </c>
      <c r="AP40" s="17">
        <v>79426</v>
      </c>
      <c r="AQ40" s="18">
        <f t="shared" si="237"/>
        <v>-86.422998817102098</v>
      </c>
      <c r="AR40" s="14">
        <f>AU40-AO40</f>
        <v>248088</v>
      </c>
      <c r="AS40" s="14">
        <f>AV40-AP40</f>
        <v>36140</v>
      </c>
      <c r="AT40" s="18">
        <f t="shared" si="238"/>
        <v>-85.432588436361286</v>
      </c>
      <c r="AU40" s="17">
        <v>833092</v>
      </c>
      <c r="AV40" s="17">
        <v>115566</v>
      </c>
      <c r="AW40" s="18">
        <f t="shared" si="239"/>
        <v>-86.128062686954138</v>
      </c>
      <c r="AX40" s="14">
        <f>BA40-AU40</f>
        <v>12775</v>
      </c>
      <c r="AY40" s="14">
        <f>BB40-AV40</f>
        <v>582</v>
      </c>
      <c r="AZ40" s="18">
        <f t="shared" si="240"/>
        <v>-95.444227005870843</v>
      </c>
      <c r="BA40" s="17">
        <v>845867</v>
      </c>
      <c r="BB40" s="17">
        <v>116148</v>
      </c>
      <c r="BC40" s="18">
        <f t="shared" si="241"/>
        <v>-86.268763292574363</v>
      </c>
      <c r="BD40" s="14">
        <f>BG40-BA40</f>
        <v>2080</v>
      </c>
      <c r="BE40" s="14">
        <f>BH40-BB40</f>
        <v>1039</v>
      </c>
      <c r="BF40" s="18">
        <f t="shared" si="242"/>
        <v>-50.04807692307692</v>
      </c>
      <c r="BG40" s="17">
        <v>847947</v>
      </c>
      <c r="BH40" s="17">
        <v>117187</v>
      </c>
      <c r="BI40" s="18">
        <f t="shared" si="243"/>
        <v>-86.179914546545959</v>
      </c>
      <c r="BJ40" s="14">
        <f>BM40-BG40</f>
        <v>233960</v>
      </c>
      <c r="BK40" s="14">
        <f>BN40-BH40</f>
        <v>62166</v>
      </c>
      <c r="BL40" s="18">
        <f t="shared" si="244"/>
        <v>-73.428791246366899</v>
      </c>
      <c r="BM40" s="17">
        <v>1081907</v>
      </c>
      <c r="BN40" s="17">
        <v>179353</v>
      </c>
      <c r="BO40" s="18">
        <f t="shared" si="245"/>
        <v>-83.422512286176158</v>
      </c>
      <c r="BP40" s="14">
        <f>BS40-BM40</f>
        <v>6321</v>
      </c>
      <c r="BQ40" s="14">
        <f>BT40-BN40</f>
        <v>199680</v>
      </c>
      <c r="BR40" s="18">
        <f t="shared" si="246"/>
        <v>3058.9938300901758</v>
      </c>
      <c r="BS40" s="17">
        <v>1088228</v>
      </c>
      <c r="BT40" s="17">
        <v>379033</v>
      </c>
      <c r="BU40" s="18">
        <f t="shared" si="247"/>
        <v>-65.169707083442077</v>
      </c>
      <c r="BV40" s="14">
        <f>BY40-BS40</f>
        <v>0</v>
      </c>
      <c r="BW40" s="14">
        <f>BZ40-BT40</f>
        <v>208</v>
      </c>
      <c r="BX40" s="18" t="e">
        <f t="shared" si="248"/>
        <v>#DIV/0!</v>
      </c>
      <c r="BY40" s="17">
        <v>1088228</v>
      </c>
      <c r="BZ40" s="17">
        <v>379241</v>
      </c>
      <c r="CA40" s="18">
        <f t="shared" si="249"/>
        <v>-65.150593441815502</v>
      </c>
      <c r="CB40" s="6"/>
    </row>
    <row r="41" spans="1:80" s="1" customFormat="1" ht="19.5" customHeight="1" thickBot="1">
      <c r="A41" s="155"/>
      <c r="B41" s="135"/>
      <c r="C41" s="34" t="s">
        <v>105</v>
      </c>
      <c r="D41" s="19">
        <f t="shared" ref="D41:L41" si="250">D40/D39</f>
        <v>27.594356323781902</v>
      </c>
      <c r="E41" s="19">
        <f t="shared" si="250"/>
        <v>51.089827879146043</v>
      </c>
      <c r="F41" s="19">
        <f t="shared" si="250"/>
        <v>6.6312031008343997</v>
      </c>
      <c r="G41" s="19">
        <f t="shared" si="250"/>
        <v>26.81442877174306</v>
      </c>
      <c r="H41" s="20">
        <f>H40/H39</f>
        <v>20.965361279646995</v>
      </c>
      <c r="I41" s="20">
        <f>I40/I39</f>
        <v>17.808800000000002</v>
      </c>
      <c r="J41" s="20">
        <f>J40/J39</f>
        <v>16.390950716953849</v>
      </c>
      <c r="K41" s="20">
        <f t="shared" si="250"/>
        <v>13.65</v>
      </c>
      <c r="L41" s="20">
        <f t="shared" si="250"/>
        <v>15.445098039215686</v>
      </c>
      <c r="M41" s="46"/>
      <c r="N41" s="20">
        <f>N40/N39</f>
        <v>13.303408439525553</v>
      </c>
      <c r="O41" s="20" t="e">
        <f>O40/O39</f>
        <v>#DIV/0!</v>
      </c>
      <c r="P41" s="47"/>
      <c r="Q41" s="20">
        <f>Q40/Q39</f>
        <v>13.318045525571181</v>
      </c>
      <c r="R41" s="20">
        <f>R40/R39</f>
        <v>15.720588235294118</v>
      </c>
      <c r="S41" s="47"/>
      <c r="T41" s="20">
        <f>T40/T39</f>
        <v>15.392333333333333</v>
      </c>
      <c r="U41" s="20">
        <f>U40/U39</f>
        <v>198</v>
      </c>
      <c r="V41" s="47"/>
      <c r="W41" s="20">
        <f>W40/W39</f>
        <v>13.737390073789548</v>
      </c>
      <c r="X41" s="20">
        <f>X40/X39</f>
        <v>15.899118511263467</v>
      </c>
      <c r="Y41" s="47"/>
      <c r="Z41" s="20">
        <f>Z40/Z39</f>
        <v>25.22</v>
      </c>
      <c r="AA41" s="20" t="e">
        <f>AA40/AA39</f>
        <v>#DIV/0!</v>
      </c>
      <c r="AB41" s="47"/>
      <c r="AC41" s="20">
        <f>AC40/AC39</f>
        <v>15.800381436745074</v>
      </c>
      <c r="AD41" s="20">
        <f>AD40/AD39</f>
        <v>16.122428991185114</v>
      </c>
      <c r="AE41" s="47"/>
      <c r="AF41" s="20" t="e">
        <f>AF40/AF39</f>
        <v>#DIV/0!</v>
      </c>
      <c r="AG41" s="20">
        <f>AG40/AG39</f>
        <v>12.35</v>
      </c>
      <c r="AH41" s="47"/>
      <c r="AI41" s="20">
        <f>AI40/AI39</f>
        <v>15.800381436745074</v>
      </c>
      <c r="AJ41" s="20">
        <f>AJ40/AJ39</f>
        <v>12.989702707191496</v>
      </c>
      <c r="AK41" s="47"/>
      <c r="AL41" s="20">
        <f>AL40/AL39</f>
        <v>13.362</v>
      </c>
      <c r="AM41" s="20">
        <f>AM40/AM39</f>
        <v>607.5</v>
      </c>
      <c r="AN41" s="47"/>
      <c r="AO41" s="20">
        <f>AO40/AO39</f>
        <v>15.734796524919982</v>
      </c>
      <c r="AP41" s="20">
        <f>AP40/AP39</f>
        <v>13.187116055122033</v>
      </c>
      <c r="AQ41" s="47"/>
      <c r="AR41" s="20">
        <f>AR40/AR39</f>
        <v>22.553454545454546</v>
      </c>
      <c r="AS41" s="20">
        <f>AS40/AS39</f>
        <v>18.07</v>
      </c>
      <c r="AT41" s="47"/>
      <c r="AU41" s="20">
        <f>AU40/AU39</f>
        <v>17.291600074721352</v>
      </c>
      <c r="AV41" s="20">
        <f>AV40/AV39</f>
        <v>14.404337529602394</v>
      </c>
      <c r="AW41" s="47"/>
      <c r="AX41" s="20">
        <f>AX40/AX39</f>
        <v>12.775</v>
      </c>
      <c r="AY41" s="20">
        <f>AY40/AY39</f>
        <v>582</v>
      </c>
      <c r="AZ41" s="47"/>
      <c r="BA41" s="20">
        <f>BA40/BA39</f>
        <v>17.199760060188293</v>
      </c>
      <c r="BB41" s="20">
        <f>BB40/BB39</f>
        <v>14.475074775672981</v>
      </c>
      <c r="BC41" s="47"/>
      <c r="BD41" s="20">
        <f>BD40/BD39</f>
        <v>130</v>
      </c>
      <c r="BE41" s="20" t="e">
        <f>BE40/BE39</f>
        <v>#DIV/0!</v>
      </c>
      <c r="BF41" s="47"/>
      <c r="BG41" s="20">
        <f>BG40/BG39</f>
        <v>17.236446793373311</v>
      </c>
      <c r="BH41" s="20">
        <f>BH40/BH39</f>
        <v>14.604561316051845</v>
      </c>
      <c r="BI41" s="47"/>
      <c r="BJ41" s="20">
        <f>BJ40/BJ39</f>
        <v>13.667484519219535</v>
      </c>
      <c r="BK41" s="20">
        <f>BK40/BK39</f>
        <v>12.430713857228554</v>
      </c>
      <c r="BL41" s="47"/>
      <c r="BM41" s="20">
        <f>BM40/BM39</f>
        <v>16.315156907393725</v>
      </c>
      <c r="BN41" s="20">
        <f>BN40/BN39</f>
        <v>13.769904030710173</v>
      </c>
      <c r="BO41" s="47"/>
      <c r="BP41" s="20">
        <f>BP40/BP39</f>
        <v>80.012658227848107</v>
      </c>
      <c r="BQ41" s="20">
        <f>BQ40/BQ39</f>
        <v>19.968</v>
      </c>
      <c r="BR41" s="47"/>
      <c r="BS41" s="20">
        <f>BS40/BS39</f>
        <v>16.390950716953849</v>
      </c>
      <c r="BT41" s="20">
        <f>BT40/BT39</f>
        <v>16.461802388707927</v>
      </c>
      <c r="BU41" s="47"/>
      <c r="BV41" s="20" t="e">
        <f>BV40/BV39</f>
        <v>#DIV/0!</v>
      </c>
      <c r="BW41" s="20" t="e">
        <f>BW40/BW39</f>
        <v>#DIV/0!</v>
      </c>
      <c r="BX41" s="47"/>
      <c r="BY41" s="20">
        <f>BY40/BY39</f>
        <v>16.390950716953849</v>
      </c>
      <c r="BZ41" s="20">
        <f>BZ40/BZ39</f>
        <v>16.47083604777416</v>
      </c>
      <c r="CA41" s="47"/>
      <c r="CB41" s="6"/>
    </row>
    <row r="42" spans="1:80" s="1" customFormat="1" ht="19.5" customHeight="1">
      <c r="A42" s="164" t="s">
        <v>93</v>
      </c>
      <c r="B42" s="114" t="s">
        <v>32</v>
      </c>
      <c r="C42" s="32" t="s">
        <v>42</v>
      </c>
      <c r="D42" s="22">
        <v>31915743</v>
      </c>
      <c r="E42" s="22">
        <v>35867535</v>
      </c>
      <c r="F42" s="22">
        <v>35155307</v>
      </c>
      <c r="G42" s="22">
        <v>30089795</v>
      </c>
      <c r="H42" s="22">
        <v>33063755</v>
      </c>
      <c r="I42" s="22">
        <v>30723219</v>
      </c>
      <c r="J42" s="22">
        <v>21956360</v>
      </c>
      <c r="K42" s="22">
        <v>1356795</v>
      </c>
      <c r="L42" s="22">
        <v>1331460</v>
      </c>
      <c r="M42" s="43">
        <f t="shared" si="0"/>
        <v>-1.8672680839773137</v>
      </c>
      <c r="N42" s="23">
        <f>Q42-K42</f>
        <v>1374545</v>
      </c>
      <c r="O42" s="22">
        <f>R42-L42</f>
        <v>1972397</v>
      </c>
      <c r="P42" s="15">
        <f t="shared" si="1"/>
        <v>43.494538192638288</v>
      </c>
      <c r="Q42" s="22">
        <v>2731340</v>
      </c>
      <c r="R42" s="22">
        <v>3303857</v>
      </c>
      <c r="S42" s="15">
        <f t="shared" si="2"/>
        <v>20.961030117085389</v>
      </c>
      <c r="T42" s="23">
        <f>W42-Q42</f>
        <v>1830843</v>
      </c>
      <c r="U42" s="22">
        <f>X42-R42</f>
        <v>1519505</v>
      </c>
      <c r="V42" s="15">
        <f t="shared" ref="V42:V43" si="251">(U42/T42-1)*100</f>
        <v>-17.005171934458609</v>
      </c>
      <c r="W42" s="22">
        <v>4562183</v>
      </c>
      <c r="X42" s="22">
        <v>4823362</v>
      </c>
      <c r="Y42" s="15">
        <f t="shared" ref="Y42:Y43" si="252">(X42/W42-1)*100</f>
        <v>5.7248689936374664</v>
      </c>
      <c r="Z42" s="23">
        <f>AC42-W42</f>
        <v>2075728</v>
      </c>
      <c r="AA42" s="22">
        <f>AD42-X42</f>
        <v>2067840</v>
      </c>
      <c r="AB42" s="15">
        <f t="shared" ref="AB42:AB43" si="253">(AA42/Z42-1)*100</f>
        <v>-0.38001125388297252</v>
      </c>
      <c r="AC42" s="22">
        <v>6637911</v>
      </c>
      <c r="AD42" s="22">
        <v>6891202</v>
      </c>
      <c r="AE42" s="15">
        <f t="shared" ref="AE42:AE43" si="254">(AD42/AC42-1)*100</f>
        <v>3.8158239843830488</v>
      </c>
      <c r="AF42" s="23">
        <f>AI42-AC42</f>
        <v>1810299</v>
      </c>
      <c r="AG42" s="22">
        <f>AJ42-AD42</f>
        <v>762989</v>
      </c>
      <c r="AH42" s="15">
        <f t="shared" ref="AH42:AH43" si="255">(AG42/AF42-1)*100</f>
        <v>-57.852874027992065</v>
      </c>
      <c r="AI42" s="22">
        <v>8448210</v>
      </c>
      <c r="AJ42" s="22">
        <v>7654191</v>
      </c>
      <c r="AK42" s="15">
        <f t="shared" ref="AK42:AK43" si="256">(AJ42/AI42-1)*100</f>
        <v>-9.39866551612708</v>
      </c>
      <c r="AL42" s="23">
        <f>AO42-AI42</f>
        <v>3072274</v>
      </c>
      <c r="AM42" s="22">
        <f>AP42-AJ42</f>
        <v>1984327</v>
      </c>
      <c r="AN42" s="15">
        <f t="shared" ref="AN42:AN43" si="257">(AM42/AL42-1)*100</f>
        <v>-35.411782933423254</v>
      </c>
      <c r="AO42" s="22">
        <v>11520484</v>
      </c>
      <c r="AP42" s="22">
        <v>9638518</v>
      </c>
      <c r="AQ42" s="15">
        <f t="shared" ref="AQ42:AQ43" si="258">(AP42/AO42-1)*100</f>
        <v>-16.33582408516865</v>
      </c>
      <c r="AR42" s="23">
        <f>AU42-AO42</f>
        <v>2599125</v>
      </c>
      <c r="AS42" s="22">
        <f>AV42-AP42</f>
        <v>2162615</v>
      </c>
      <c r="AT42" s="15">
        <f t="shared" ref="AT42:AT43" si="259">(AS42/AR42-1)*100</f>
        <v>-16.794498148415325</v>
      </c>
      <c r="AU42" s="22">
        <v>14119609</v>
      </c>
      <c r="AV42" s="22">
        <v>11801133</v>
      </c>
      <c r="AW42" s="15">
        <f t="shared" ref="AW42:AW43" si="260">(AV42/AU42-1)*100</f>
        <v>-16.420256396618349</v>
      </c>
      <c r="AX42" s="23">
        <f>BA42-AU42</f>
        <v>2147305</v>
      </c>
      <c r="AY42" s="22">
        <f>BB42-AV42</f>
        <v>1483751</v>
      </c>
      <c r="AZ42" s="15">
        <f t="shared" ref="AZ42:AZ43" si="261">(AY42/AX42-1)*100</f>
        <v>-30.901711680455268</v>
      </c>
      <c r="BA42" s="22">
        <v>16266914</v>
      </c>
      <c r="BB42" s="22">
        <v>13284884</v>
      </c>
      <c r="BC42" s="15">
        <f t="shared" ref="BC42:BC43" si="262">(BB42/BA42-1)*100</f>
        <v>-18.331872904719361</v>
      </c>
      <c r="BD42" s="23">
        <f>BG42-BA42</f>
        <v>1693985</v>
      </c>
      <c r="BE42" s="22">
        <f>BH42-BB42</f>
        <v>1130814</v>
      </c>
      <c r="BF42" s="15">
        <f t="shared" ref="BF42:BF43" si="263">(BE42/BD42-1)*100</f>
        <v>-33.24533570250032</v>
      </c>
      <c r="BG42" s="22">
        <v>17960899</v>
      </c>
      <c r="BH42" s="22">
        <v>14415698</v>
      </c>
      <c r="BI42" s="15">
        <f t="shared" ref="BI42:BI43" si="264">(BH42/BG42-1)*100</f>
        <v>-19.73843848239445</v>
      </c>
      <c r="BJ42" s="23">
        <f>BM42-BG42</f>
        <v>1691640</v>
      </c>
      <c r="BK42" s="22">
        <f>BN42-BH42</f>
        <v>2466689</v>
      </c>
      <c r="BL42" s="15">
        <f t="shared" ref="BL42:BL43" si="265">(BK42/BJ42-1)*100</f>
        <v>45.816426662883345</v>
      </c>
      <c r="BM42" s="22">
        <v>19652539</v>
      </c>
      <c r="BN42" s="22">
        <v>16882387</v>
      </c>
      <c r="BO42" s="15">
        <f t="shared" ref="BO42:BO43" si="266">(BN42/BM42-1)*100</f>
        <v>-14.095644333793212</v>
      </c>
      <c r="BP42" s="23">
        <f>BS42-BM42</f>
        <v>1339532</v>
      </c>
      <c r="BQ42" s="22">
        <f>BT42-BN42</f>
        <v>2190795</v>
      </c>
      <c r="BR42" s="15">
        <f t="shared" ref="BR42:BR43" si="267">(BQ42/BP42-1)*100</f>
        <v>63.549284376931638</v>
      </c>
      <c r="BS42" s="22">
        <v>20992071</v>
      </c>
      <c r="BT42" s="22">
        <v>19073182</v>
      </c>
      <c r="BU42" s="15">
        <f t="shared" ref="BU42:BU43" si="268">(BT42/BS42-1)*100</f>
        <v>-9.1410180539118748</v>
      </c>
      <c r="BV42" s="23">
        <f>BY42-BS42</f>
        <v>964289</v>
      </c>
      <c r="BW42" s="22">
        <f>BZ42-BT42</f>
        <v>1066572</v>
      </c>
      <c r="BX42" s="15">
        <f t="shared" ref="BX42:BX43" si="269">(BW42/BV42-1)*100</f>
        <v>10.607089783249624</v>
      </c>
      <c r="BY42" s="22">
        <v>21956360</v>
      </c>
      <c r="BZ42" s="22">
        <v>20139754</v>
      </c>
      <c r="CA42" s="15">
        <f t="shared" ref="CA42:CA43" si="270">(BZ42/BY42-1)*100</f>
        <v>-8.2737120360569794</v>
      </c>
      <c r="CB42" s="6"/>
    </row>
    <row r="43" spans="1:80" s="1" customFormat="1" ht="19.5" customHeight="1">
      <c r="A43" s="154"/>
      <c r="B43" s="134"/>
      <c r="C43" s="33" t="s">
        <v>104</v>
      </c>
      <c r="D43" s="17">
        <v>53319671</v>
      </c>
      <c r="E43" s="17">
        <v>67464580</v>
      </c>
      <c r="F43" s="17">
        <v>88500303</v>
      </c>
      <c r="G43" s="17">
        <v>87674851</v>
      </c>
      <c r="H43" s="17">
        <v>78148272</v>
      </c>
      <c r="I43" s="17">
        <v>67719125</v>
      </c>
      <c r="J43" s="17">
        <v>45953341</v>
      </c>
      <c r="K43" s="17">
        <v>3194435</v>
      </c>
      <c r="L43" s="17">
        <v>2963608</v>
      </c>
      <c r="M43" s="44">
        <f t="shared" si="0"/>
        <v>-7.2259100592123477</v>
      </c>
      <c r="N43" s="14">
        <f>Q43-K43</f>
        <v>2976053</v>
      </c>
      <c r="O43" s="14">
        <f>R43-L43</f>
        <v>4045967</v>
      </c>
      <c r="P43" s="18">
        <f t="shared" si="1"/>
        <v>35.95077103801578</v>
      </c>
      <c r="Q43" s="17">
        <v>6170488</v>
      </c>
      <c r="R43" s="17">
        <v>7009575</v>
      </c>
      <c r="S43" s="18">
        <f t="shared" si="2"/>
        <v>13.59838962493729</v>
      </c>
      <c r="T43" s="14">
        <f>W43-Q43</f>
        <v>4037199</v>
      </c>
      <c r="U43" s="14">
        <f>X43-R43</f>
        <v>3321296</v>
      </c>
      <c r="V43" s="18">
        <f t="shared" si="251"/>
        <v>-17.732665642689405</v>
      </c>
      <c r="W43" s="17">
        <v>10207687</v>
      </c>
      <c r="X43" s="17">
        <v>10330871</v>
      </c>
      <c r="Y43" s="18">
        <f t="shared" si="252"/>
        <v>1.2067768143752877</v>
      </c>
      <c r="Z43" s="14">
        <f>AC43-W43</f>
        <v>4293186</v>
      </c>
      <c r="AA43" s="14">
        <f>AD43-X43</f>
        <v>4638070</v>
      </c>
      <c r="AB43" s="18">
        <f t="shared" si="253"/>
        <v>8.0332880988617674</v>
      </c>
      <c r="AC43" s="17">
        <v>14500873</v>
      </c>
      <c r="AD43" s="17">
        <v>14968941</v>
      </c>
      <c r="AE43" s="18">
        <f t="shared" si="254"/>
        <v>3.2278608329305403</v>
      </c>
      <c r="AF43" s="14">
        <f>AI43-AC43</f>
        <v>3918148</v>
      </c>
      <c r="AG43" s="14">
        <f>AJ43-AD43</f>
        <v>1668663</v>
      </c>
      <c r="AH43" s="18">
        <f t="shared" si="255"/>
        <v>-57.41194564370717</v>
      </c>
      <c r="AI43" s="17">
        <v>18419021</v>
      </c>
      <c r="AJ43" s="17">
        <v>16637604</v>
      </c>
      <c r="AK43" s="18">
        <f t="shared" si="256"/>
        <v>-9.6716160972941996</v>
      </c>
      <c r="AL43" s="14">
        <f>AO43-AI43</f>
        <v>5913054</v>
      </c>
      <c r="AM43" s="14">
        <f>AP43-AJ43</f>
        <v>4502730</v>
      </c>
      <c r="AN43" s="18">
        <f t="shared" si="257"/>
        <v>-23.851025206263976</v>
      </c>
      <c r="AO43" s="17">
        <v>24332075</v>
      </c>
      <c r="AP43" s="17">
        <v>21140334</v>
      </c>
      <c r="AQ43" s="18">
        <f t="shared" si="258"/>
        <v>-13.117422168064174</v>
      </c>
      <c r="AR43" s="14">
        <f>AU43-AO43</f>
        <v>5088067</v>
      </c>
      <c r="AS43" s="14">
        <f>AV43-AP43</f>
        <v>5131444</v>
      </c>
      <c r="AT43" s="18">
        <f t="shared" si="259"/>
        <v>0.85252415111671809</v>
      </c>
      <c r="AU43" s="17">
        <v>29420142</v>
      </c>
      <c r="AV43" s="17">
        <v>26271778</v>
      </c>
      <c r="AW43" s="18">
        <f t="shared" si="260"/>
        <v>-10.701389544618788</v>
      </c>
      <c r="AX43" s="14">
        <f>BA43-AU43</f>
        <v>4443743</v>
      </c>
      <c r="AY43" s="14">
        <f>BB43-AV43</f>
        <v>3157764</v>
      </c>
      <c r="AZ43" s="18">
        <f t="shared" si="261"/>
        <v>-28.9390948126388</v>
      </c>
      <c r="BA43" s="17">
        <v>33863885</v>
      </c>
      <c r="BB43" s="17">
        <v>29429542</v>
      </c>
      <c r="BC43" s="18">
        <f t="shared" si="262"/>
        <v>-13.094608016770671</v>
      </c>
      <c r="BD43" s="14">
        <f>BG43-BA43</f>
        <v>3438693</v>
      </c>
      <c r="BE43" s="14">
        <f>BH43-BB43</f>
        <v>2438600</v>
      </c>
      <c r="BF43" s="18">
        <f t="shared" si="263"/>
        <v>-29.083520977301546</v>
      </c>
      <c r="BG43" s="17">
        <v>37302578</v>
      </c>
      <c r="BH43" s="17">
        <v>31868142</v>
      </c>
      <c r="BI43" s="18">
        <f t="shared" si="264"/>
        <v>-14.568526604247033</v>
      </c>
      <c r="BJ43" s="14">
        <f>BM43-BG43</f>
        <v>3735295</v>
      </c>
      <c r="BK43" s="14">
        <f>BN43-BH43</f>
        <v>5140556</v>
      </c>
      <c r="BL43" s="18">
        <f t="shared" si="265"/>
        <v>37.621151743035021</v>
      </c>
      <c r="BM43" s="17">
        <v>41037873</v>
      </c>
      <c r="BN43" s="17">
        <v>37008698</v>
      </c>
      <c r="BO43" s="18">
        <f t="shared" si="266"/>
        <v>-9.8181867271727281</v>
      </c>
      <c r="BP43" s="14">
        <f>BS43-BM43</f>
        <v>2880682</v>
      </c>
      <c r="BQ43" s="14">
        <f>BT43-BN43</f>
        <v>4562831</v>
      </c>
      <c r="BR43" s="18">
        <f t="shared" si="267"/>
        <v>58.394123336071104</v>
      </c>
      <c r="BS43" s="17">
        <v>43918555</v>
      </c>
      <c r="BT43" s="17">
        <v>41571529</v>
      </c>
      <c r="BU43" s="18">
        <f t="shared" si="268"/>
        <v>-5.3440419430921597</v>
      </c>
      <c r="BV43" s="14">
        <f>BY43-BS43</f>
        <v>2034786</v>
      </c>
      <c r="BW43" s="14">
        <f>BZ43-BT43</f>
        <v>2343521</v>
      </c>
      <c r="BX43" s="18">
        <f t="shared" si="269"/>
        <v>15.172848643542869</v>
      </c>
      <c r="BY43" s="17">
        <v>45953341</v>
      </c>
      <c r="BZ43" s="17">
        <v>43915050</v>
      </c>
      <c r="CA43" s="18">
        <f t="shared" si="270"/>
        <v>-4.4355665021178714</v>
      </c>
      <c r="CB43" s="6"/>
    </row>
    <row r="44" spans="1:80" s="1" customFormat="1" ht="19.5" customHeight="1" thickBot="1">
      <c r="A44" s="155"/>
      <c r="B44" s="135"/>
      <c r="C44" s="34" t="s">
        <v>105</v>
      </c>
      <c r="D44" s="19">
        <f t="shared" ref="D44:L44" si="271">D43/D42</f>
        <v>1.6706385622919697</v>
      </c>
      <c r="E44" s="19">
        <f t="shared" si="271"/>
        <v>1.8809371761956879</v>
      </c>
      <c r="F44" s="19">
        <f t="shared" si="271"/>
        <v>2.5174094767541071</v>
      </c>
      <c r="G44" s="19">
        <f t="shared" si="271"/>
        <v>2.9137736232500089</v>
      </c>
      <c r="H44" s="20">
        <f>H43/H42</f>
        <v>2.3635631222164575</v>
      </c>
      <c r="I44" s="20">
        <f>I43/I42</f>
        <v>2.2041676362102551</v>
      </c>
      <c r="J44" s="20">
        <f>J43/J42</f>
        <v>2.0929398588837129</v>
      </c>
      <c r="K44" s="20">
        <f t="shared" si="271"/>
        <v>2.3543976798263553</v>
      </c>
      <c r="L44" s="20">
        <f t="shared" si="271"/>
        <v>2.2258332957805718</v>
      </c>
      <c r="M44" s="46"/>
      <c r="N44" s="20">
        <f>N43/N42</f>
        <v>2.1651186392588091</v>
      </c>
      <c r="O44" s="20">
        <f>O43/O42</f>
        <v>2.0512944402166502</v>
      </c>
      <c r="P44" s="47"/>
      <c r="Q44" s="20">
        <f>Q43/Q42</f>
        <v>2.2591431312103216</v>
      </c>
      <c r="R44" s="20">
        <f>R43/R42</f>
        <v>2.1216338963823191</v>
      </c>
      <c r="S44" s="47"/>
      <c r="T44" s="20">
        <f>T43/T42</f>
        <v>2.2051038783773378</v>
      </c>
      <c r="U44" s="20">
        <f>U43/U42</f>
        <v>2.1857749727707376</v>
      </c>
      <c r="V44" s="47"/>
      <c r="W44" s="20">
        <f>W43/W42</f>
        <v>2.2374567175407036</v>
      </c>
      <c r="X44" s="20">
        <f>X43/X42</f>
        <v>2.1418402765539888</v>
      </c>
      <c r="Y44" s="47"/>
      <c r="Z44" s="20">
        <f>Z43/Z42</f>
        <v>2.0682796589919294</v>
      </c>
      <c r="AA44" s="20">
        <f>AA43/AA42</f>
        <v>2.2429540003095019</v>
      </c>
      <c r="AB44" s="47"/>
      <c r="AC44" s="20">
        <f>AC43/AC42</f>
        <v>2.1845536946789434</v>
      </c>
      <c r="AD44" s="20">
        <f>AD43/AD42</f>
        <v>2.1721814278554019</v>
      </c>
      <c r="AE44" s="47"/>
      <c r="AF44" s="20">
        <f>AF43/AF42</f>
        <v>2.1643651131663884</v>
      </c>
      <c r="AG44" s="20">
        <f>AG43/AG42</f>
        <v>2.1870079385154964</v>
      </c>
      <c r="AH44" s="47"/>
      <c r="AI44" s="20">
        <f>AI43/AI42</f>
        <v>2.1802276458563412</v>
      </c>
      <c r="AJ44" s="20">
        <f>AJ43/AJ42</f>
        <v>2.173659371708911</v>
      </c>
      <c r="AK44" s="47"/>
      <c r="AL44" s="20">
        <f>AL43/AL42</f>
        <v>1.924650600825317</v>
      </c>
      <c r="AM44" s="20">
        <f>AM43/AM42</f>
        <v>2.2691471718119041</v>
      </c>
      <c r="AN44" s="47"/>
      <c r="AO44" s="20">
        <f>AO43/AO42</f>
        <v>2.1120705518969514</v>
      </c>
      <c r="AP44" s="20">
        <f>AP43/AP42</f>
        <v>2.1933178938919862</v>
      </c>
      <c r="AQ44" s="47"/>
      <c r="AR44" s="20">
        <f>AR43/AR42</f>
        <v>1.9576076564228346</v>
      </c>
      <c r="AS44" s="20">
        <f>AS43/AS42</f>
        <v>2.3727958975592047</v>
      </c>
      <c r="AT44" s="47"/>
      <c r="AU44" s="20">
        <f>AU43/AU42</f>
        <v>2.0836371602074815</v>
      </c>
      <c r="AV44" s="20">
        <f>AV43/AV42</f>
        <v>2.2262081106958118</v>
      </c>
      <c r="AW44" s="47"/>
      <c r="AX44" s="20">
        <f>AX43/AX42</f>
        <v>2.0694512423712514</v>
      </c>
      <c r="AY44" s="20">
        <f>AY43/AY42</f>
        <v>2.1282304106281984</v>
      </c>
      <c r="AZ44" s="47"/>
      <c r="BA44" s="20">
        <f>BA43/BA42</f>
        <v>2.0817645559569566</v>
      </c>
      <c r="BB44" s="20">
        <f>BB43/BB42</f>
        <v>2.2152652593729836</v>
      </c>
      <c r="BC44" s="47"/>
      <c r="BD44" s="20">
        <f>BD43/BD42</f>
        <v>2.029943004217865</v>
      </c>
      <c r="BE44" s="20">
        <f>BE43/BE42</f>
        <v>2.1564996542313768</v>
      </c>
      <c r="BF44" s="47"/>
      <c r="BG44" s="20">
        <f>BG43/BG42</f>
        <v>2.076876998194801</v>
      </c>
      <c r="BH44" s="20">
        <f>BH43/BH42</f>
        <v>2.2106554951414772</v>
      </c>
      <c r="BI44" s="47"/>
      <c r="BJ44" s="20">
        <f>BJ43/BJ42</f>
        <v>2.2080909649807285</v>
      </c>
      <c r="BK44" s="20">
        <f>BK43/BK42</f>
        <v>2.0839903206281782</v>
      </c>
      <c r="BL44" s="47"/>
      <c r="BM44" s="20">
        <f>BM43/BM42</f>
        <v>2.0881715589013714</v>
      </c>
      <c r="BN44" s="20">
        <f>BN43/BN42</f>
        <v>2.1921484207179947</v>
      </c>
      <c r="BO44" s="47"/>
      <c r="BP44" s="20">
        <f>BP43/BP42</f>
        <v>2.150513761522681</v>
      </c>
      <c r="BQ44" s="20">
        <f>BQ43/BQ42</f>
        <v>2.0827284159403323</v>
      </c>
      <c r="BR44" s="47"/>
      <c r="BS44" s="20">
        <f>BS43/BS42</f>
        <v>2.0921496978549663</v>
      </c>
      <c r="BT44" s="20">
        <f>BT43/BT42</f>
        <v>2.1795801560536674</v>
      </c>
      <c r="BU44" s="47"/>
      <c r="BV44" s="20">
        <f>BV43/BV42</f>
        <v>2.1101412543335036</v>
      </c>
      <c r="BW44" s="20">
        <f>BW43/BW42</f>
        <v>2.1972459430774482</v>
      </c>
      <c r="BX44" s="47"/>
      <c r="BY44" s="20">
        <f>BY43/BY42</f>
        <v>2.0929398588837129</v>
      </c>
      <c r="BZ44" s="20">
        <f>BZ43/BZ42</f>
        <v>2.180515710370643</v>
      </c>
      <c r="CA44" s="47"/>
      <c r="CB44" s="6"/>
    </row>
    <row r="45" spans="1:80" s="1" customFormat="1" ht="19.5" customHeight="1">
      <c r="A45" s="151" t="s">
        <v>94</v>
      </c>
      <c r="B45" s="114">
        <v>2824</v>
      </c>
      <c r="C45" s="32" t="s">
        <v>42</v>
      </c>
      <c r="D45" s="22">
        <v>176970</v>
      </c>
      <c r="E45" s="22">
        <v>214600</v>
      </c>
      <c r="F45" s="22">
        <v>216520</v>
      </c>
      <c r="G45" s="22">
        <v>204825</v>
      </c>
      <c r="H45" s="22">
        <v>56582</v>
      </c>
      <c r="I45" s="22">
        <v>37000</v>
      </c>
      <c r="J45" s="22">
        <v>374933</v>
      </c>
      <c r="K45" s="22">
        <v>0</v>
      </c>
      <c r="L45" s="22">
        <v>10060</v>
      </c>
      <c r="M45" s="43" t="e">
        <f t="shared" si="0"/>
        <v>#DIV/0!</v>
      </c>
      <c r="N45" s="23">
        <f>Q45-K45</f>
        <v>130000</v>
      </c>
      <c r="O45" s="22">
        <f>R45-L45</f>
        <v>120109</v>
      </c>
      <c r="P45" s="15">
        <f t="shared" si="1"/>
        <v>-7.6084615384615422</v>
      </c>
      <c r="Q45" s="22">
        <v>130000</v>
      </c>
      <c r="R45" s="22">
        <v>130169</v>
      </c>
      <c r="S45" s="15">
        <f t="shared" si="2"/>
        <v>0.13000000000000789</v>
      </c>
      <c r="T45" s="23">
        <f>W45-Q45</f>
        <v>210</v>
      </c>
      <c r="U45" s="22">
        <f>X45-R45</f>
        <v>21006</v>
      </c>
      <c r="V45" s="15">
        <f t="shared" ref="V45:V46" si="272">(U45/T45-1)*100</f>
        <v>9902.8571428571431</v>
      </c>
      <c r="W45" s="22">
        <v>130210</v>
      </c>
      <c r="X45" s="22">
        <v>151175</v>
      </c>
      <c r="Y45" s="15">
        <f t="shared" ref="Y45:Y46" si="273">(X45/W45-1)*100</f>
        <v>16.100913908301973</v>
      </c>
      <c r="Z45" s="23">
        <f>AC45-W45</f>
        <v>12000</v>
      </c>
      <c r="AA45" s="22">
        <f>AD45-X45</f>
        <v>20000</v>
      </c>
      <c r="AB45" s="15">
        <f t="shared" ref="AB45:AB46" si="274">(AA45/Z45-1)*100</f>
        <v>66.666666666666671</v>
      </c>
      <c r="AC45" s="22">
        <v>142210</v>
      </c>
      <c r="AD45" s="22">
        <v>171175</v>
      </c>
      <c r="AE45" s="15">
        <f t="shared" ref="AE45:AE46" si="275">(AD45/AC45-1)*100</f>
        <v>20.367765979888897</v>
      </c>
      <c r="AF45" s="23">
        <f>AI45-AC45</f>
        <v>100001</v>
      </c>
      <c r="AG45" s="22">
        <f>AJ45-AD45</f>
        <v>20023</v>
      </c>
      <c r="AH45" s="15">
        <f t="shared" ref="AH45:AH46" si="276">(AG45/AF45-1)*100</f>
        <v>-79.977200227997727</v>
      </c>
      <c r="AI45" s="22">
        <v>242211</v>
      </c>
      <c r="AJ45" s="22">
        <v>191198</v>
      </c>
      <c r="AK45" s="15">
        <f t="shared" ref="AK45:AK46" si="277">(AJ45/AI45-1)*100</f>
        <v>-21.061388623968359</v>
      </c>
      <c r="AL45" s="23">
        <f>AO45-AI45</f>
        <v>20001</v>
      </c>
      <c r="AM45" s="22">
        <f>AP45-AJ45</f>
        <v>1012</v>
      </c>
      <c r="AN45" s="15">
        <f t="shared" ref="AN45:AN46" si="278">(AM45/AL45-1)*100</f>
        <v>-94.940252987350632</v>
      </c>
      <c r="AO45" s="22">
        <v>262212</v>
      </c>
      <c r="AP45" s="22">
        <v>192210</v>
      </c>
      <c r="AQ45" s="15">
        <f t="shared" ref="AQ45:AQ46" si="279">(AP45/AO45-1)*100</f>
        <v>-26.696718685643674</v>
      </c>
      <c r="AR45" s="23">
        <f>AU45-AO45</f>
        <v>1320</v>
      </c>
      <c r="AS45" s="22">
        <f>AV45-AP45</f>
        <v>52001</v>
      </c>
      <c r="AT45" s="15">
        <f t="shared" ref="AT45:AT46" si="280">(AS45/AR45-1)*100</f>
        <v>3839.4696969696975</v>
      </c>
      <c r="AU45" s="22">
        <v>263532</v>
      </c>
      <c r="AV45" s="22">
        <v>244211</v>
      </c>
      <c r="AW45" s="15">
        <f t="shared" ref="AW45:AW46" si="281">(AV45/AU45-1)*100</f>
        <v>-7.3315574579178255</v>
      </c>
      <c r="AX45" s="23">
        <f>BA45-AU45</f>
        <v>760</v>
      </c>
      <c r="AY45" s="22">
        <f>BB45-AV45</f>
        <v>108301</v>
      </c>
      <c r="AZ45" s="15">
        <f t="shared" ref="AZ45:AZ46" si="282">(AY45/AX45-1)*100</f>
        <v>14150.13157894737</v>
      </c>
      <c r="BA45" s="22">
        <v>264292</v>
      </c>
      <c r="BB45" s="22">
        <v>352512</v>
      </c>
      <c r="BC45" s="15">
        <f t="shared" ref="BC45:BC46" si="283">(BB45/BA45-1)*100</f>
        <v>33.379746643863605</v>
      </c>
      <c r="BD45" s="23">
        <f>BG45-BA45</f>
        <v>652</v>
      </c>
      <c r="BE45" s="22">
        <f>BH45-BB45</f>
        <v>21675</v>
      </c>
      <c r="BF45" s="15">
        <f t="shared" ref="BF45:BF46" si="284">(BE45/BD45-1)*100</f>
        <v>3224.3865030674847</v>
      </c>
      <c r="BG45" s="22">
        <v>264944</v>
      </c>
      <c r="BH45" s="22">
        <v>374187</v>
      </c>
      <c r="BI45" s="15">
        <f t="shared" ref="BI45:BI46" si="285">(BH45/BG45-1)*100</f>
        <v>41.232486865148864</v>
      </c>
      <c r="BJ45" s="23">
        <f>BM45-BG45</f>
        <v>50000</v>
      </c>
      <c r="BK45" s="22">
        <f>BN45-BH45</f>
        <v>103000</v>
      </c>
      <c r="BL45" s="15">
        <f t="shared" ref="BL45:BL46" si="286">(BK45/BJ45-1)*100</f>
        <v>106</v>
      </c>
      <c r="BM45" s="22">
        <v>314944</v>
      </c>
      <c r="BN45" s="22">
        <v>477187</v>
      </c>
      <c r="BO45" s="15">
        <f t="shared" ref="BO45:BO46" si="287">(BN45/BM45-1)*100</f>
        <v>51.514872485267226</v>
      </c>
      <c r="BP45" s="23">
        <f>BS45-BM45</f>
        <v>0</v>
      </c>
      <c r="BQ45" s="22">
        <f>BT45-BN45</f>
        <v>20006</v>
      </c>
      <c r="BR45" s="15" t="e">
        <f t="shared" ref="BR45:BR46" si="288">(BQ45/BP45-1)*100</f>
        <v>#DIV/0!</v>
      </c>
      <c r="BS45" s="22">
        <v>314944</v>
      </c>
      <c r="BT45" s="22">
        <v>497193</v>
      </c>
      <c r="BU45" s="15">
        <f t="shared" ref="BU45:BU46" si="289">(BT45/BS45-1)*100</f>
        <v>57.867112883560253</v>
      </c>
      <c r="BV45" s="23">
        <f>BY45-BS45</f>
        <v>59989</v>
      </c>
      <c r="BW45" s="22">
        <f>BZ45-BT45</f>
        <v>140000</v>
      </c>
      <c r="BX45" s="15">
        <f t="shared" ref="BX45:BX46" si="290">(BW45/BV45-1)*100</f>
        <v>133.37611895514178</v>
      </c>
      <c r="BY45" s="22">
        <v>374933</v>
      </c>
      <c r="BZ45" s="22">
        <v>637193</v>
      </c>
      <c r="CA45" s="15">
        <f t="shared" ref="CA45:CA46" si="291">(BZ45/BY45-1)*100</f>
        <v>69.94849746488039</v>
      </c>
      <c r="CB45" s="6"/>
    </row>
    <row r="46" spans="1:80" s="1" customFormat="1" ht="19.5" customHeight="1">
      <c r="A46" s="165"/>
      <c r="B46" s="115"/>
      <c r="C46" s="33" t="s">
        <v>104</v>
      </c>
      <c r="D46" s="17">
        <v>277066</v>
      </c>
      <c r="E46" s="17">
        <v>524276</v>
      </c>
      <c r="F46" s="17">
        <v>655529</v>
      </c>
      <c r="G46" s="17">
        <v>509507</v>
      </c>
      <c r="H46" s="17">
        <v>161932</v>
      </c>
      <c r="I46" s="17">
        <v>232232</v>
      </c>
      <c r="J46" s="17">
        <v>902722</v>
      </c>
      <c r="K46" s="17">
        <v>0</v>
      </c>
      <c r="L46" s="17">
        <v>18697</v>
      </c>
      <c r="M46" s="44" t="e">
        <f t="shared" si="0"/>
        <v>#DIV/0!</v>
      </c>
      <c r="N46" s="14">
        <f>Q46-K46</f>
        <v>302106</v>
      </c>
      <c r="O46" s="14">
        <f>R46-L46</f>
        <v>256724</v>
      </c>
      <c r="P46" s="18">
        <f t="shared" si="1"/>
        <v>-15.021879737575549</v>
      </c>
      <c r="Q46" s="17">
        <v>302106</v>
      </c>
      <c r="R46" s="17">
        <v>275421</v>
      </c>
      <c r="S46" s="18">
        <f t="shared" si="2"/>
        <v>-8.8329923933983423</v>
      </c>
      <c r="T46" s="14">
        <f>W46-Q46</f>
        <v>3415</v>
      </c>
      <c r="U46" s="14">
        <f>X46-R46</f>
        <v>42862</v>
      </c>
      <c r="V46" s="18">
        <f t="shared" si="272"/>
        <v>1155.1098096632504</v>
      </c>
      <c r="W46" s="17">
        <v>305521</v>
      </c>
      <c r="X46" s="17">
        <v>318283</v>
      </c>
      <c r="Y46" s="18">
        <f t="shared" si="273"/>
        <v>4.1771269405376454</v>
      </c>
      <c r="Z46" s="14">
        <f>AC46-W46</f>
        <v>27135</v>
      </c>
      <c r="AA46" s="14">
        <f>AD46-X46</f>
        <v>43409</v>
      </c>
      <c r="AB46" s="18">
        <f t="shared" si="274"/>
        <v>59.974203058780162</v>
      </c>
      <c r="AC46" s="17">
        <v>332656</v>
      </c>
      <c r="AD46" s="17">
        <v>361692</v>
      </c>
      <c r="AE46" s="18">
        <f t="shared" si="275"/>
        <v>8.7285363859362253</v>
      </c>
      <c r="AF46" s="14">
        <f>AI46-AC46</f>
        <v>236222</v>
      </c>
      <c r="AG46" s="14">
        <f>AJ46-AD46</f>
        <v>40808</v>
      </c>
      <c r="AH46" s="18">
        <f t="shared" si="276"/>
        <v>-82.724725046778033</v>
      </c>
      <c r="AI46" s="17">
        <v>568878</v>
      </c>
      <c r="AJ46" s="17">
        <v>402500</v>
      </c>
      <c r="AK46" s="18">
        <f t="shared" si="277"/>
        <v>-29.24669261247579</v>
      </c>
      <c r="AL46" s="14">
        <f>AO46-AI46</f>
        <v>48013</v>
      </c>
      <c r="AM46" s="14">
        <f>AP46-AJ46</f>
        <v>3588</v>
      </c>
      <c r="AN46" s="18">
        <f t="shared" si="278"/>
        <v>-92.527023931018675</v>
      </c>
      <c r="AO46" s="17">
        <v>616891</v>
      </c>
      <c r="AP46" s="17">
        <v>406088</v>
      </c>
      <c r="AQ46" s="18">
        <f t="shared" si="279"/>
        <v>-34.171839109340219</v>
      </c>
      <c r="AR46" s="14">
        <f>AU46-AO46</f>
        <v>6308</v>
      </c>
      <c r="AS46" s="14">
        <f>AV46-AP46</f>
        <v>111844</v>
      </c>
      <c r="AT46" s="18">
        <f t="shared" si="280"/>
        <v>1673.0500951173112</v>
      </c>
      <c r="AU46" s="17">
        <v>623199</v>
      </c>
      <c r="AV46" s="17">
        <v>517932</v>
      </c>
      <c r="AW46" s="18">
        <f t="shared" si="281"/>
        <v>-16.891394241646729</v>
      </c>
      <c r="AX46" s="14">
        <f>BA46-AU46</f>
        <v>39167</v>
      </c>
      <c r="AY46" s="14">
        <f>BB46-AV46</f>
        <v>236736</v>
      </c>
      <c r="AZ46" s="18">
        <f t="shared" si="282"/>
        <v>504.42719636428626</v>
      </c>
      <c r="BA46" s="17">
        <v>662366</v>
      </c>
      <c r="BB46" s="17">
        <v>754668</v>
      </c>
      <c r="BC46" s="18">
        <f t="shared" si="283"/>
        <v>13.935195949067424</v>
      </c>
      <c r="BD46" s="14">
        <f>BG46-BA46</f>
        <v>1123</v>
      </c>
      <c r="BE46" s="14">
        <f>BH46-BB46</f>
        <v>55121</v>
      </c>
      <c r="BF46" s="18">
        <f t="shared" si="284"/>
        <v>4808.3704363312554</v>
      </c>
      <c r="BG46" s="17">
        <v>663489</v>
      </c>
      <c r="BH46" s="17">
        <v>809789</v>
      </c>
      <c r="BI46" s="18">
        <f t="shared" si="285"/>
        <v>22.05010181027869</v>
      </c>
      <c r="BJ46" s="14">
        <f>BM46-BG46</f>
        <v>113485</v>
      </c>
      <c r="BK46" s="14">
        <f>BN46-BH46</f>
        <v>238443</v>
      </c>
      <c r="BL46" s="18">
        <f t="shared" si="286"/>
        <v>110.10970612856323</v>
      </c>
      <c r="BM46" s="17">
        <v>776974</v>
      </c>
      <c r="BN46" s="17">
        <v>1048232</v>
      </c>
      <c r="BO46" s="18">
        <f t="shared" si="287"/>
        <v>34.912107741056971</v>
      </c>
      <c r="BP46" s="14">
        <f>BS46-BM46</f>
        <v>0</v>
      </c>
      <c r="BQ46" s="14">
        <f>BT46-BN46</f>
        <v>44546</v>
      </c>
      <c r="BR46" s="18" t="e">
        <f t="shared" si="288"/>
        <v>#DIV/0!</v>
      </c>
      <c r="BS46" s="17">
        <v>776974</v>
      </c>
      <c r="BT46" s="17">
        <v>1092778</v>
      </c>
      <c r="BU46" s="18">
        <f t="shared" si="289"/>
        <v>40.645375520931196</v>
      </c>
      <c r="BV46" s="14">
        <f>BY46-BS46</f>
        <v>125748</v>
      </c>
      <c r="BW46" s="14">
        <f>BZ46-BT46</f>
        <v>370462</v>
      </c>
      <c r="BX46" s="18">
        <f t="shared" si="290"/>
        <v>194.60667366478987</v>
      </c>
      <c r="BY46" s="17">
        <v>902722</v>
      </c>
      <c r="BZ46" s="17">
        <v>1463240</v>
      </c>
      <c r="CA46" s="18">
        <f t="shared" si="291"/>
        <v>62.091984021658945</v>
      </c>
      <c r="CB46" s="6"/>
    </row>
    <row r="47" spans="1:80" s="1" customFormat="1" ht="19.5" customHeight="1" thickBot="1">
      <c r="A47" s="166"/>
      <c r="B47" s="116"/>
      <c r="C47" s="34" t="s">
        <v>105</v>
      </c>
      <c r="D47" s="19">
        <f t="shared" ref="D47:L47" si="292">D46/D45</f>
        <v>1.5656099903938521</v>
      </c>
      <c r="E47" s="19">
        <f t="shared" si="292"/>
        <v>2.4430382106244175</v>
      </c>
      <c r="F47" s="19">
        <f t="shared" si="292"/>
        <v>3.0275678921115832</v>
      </c>
      <c r="G47" s="19">
        <f t="shared" si="292"/>
        <v>2.4875234956670327</v>
      </c>
      <c r="H47" s="20">
        <f>H46/H45</f>
        <v>2.8618995440246016</v>
      </c>
      <c r="I47" s="20">
        <f>I46/I45</f>
        <v>6.2765405405405401</v>
      </c>
      <c r="J47" s="20">
        <f>J46/J45</f>
        <v>2.4076888404061525</v>
      </c>
      <c r="K47" s="20" t="e">
        <f t="shared" si="292"/>
        <v>#DIV/0!</v>
      </c>
      <c r="L47" s="20">
        <f t="shared" si="292"/>
        <v>1.858548707753479</v>
      </c>
      <c r="M47" s="46"/>
      <c r="N47" s="20">
        <f>N46/N45</f>
        <v>2.3238923076923075</v>
      </c>
      <c r="O47" s="20">
        <f>O46/O45</f>
        <v>2.1374251721353104</v>
      </c>
      <c r="P47" s="47"/>
      <c r="Q47" s="20">
        <f>Q46/Q45</f>
        <v>2.3238923076923075</v>
      </c>
      <c r="R47" s="20">
        <f>R46/R45</f>
        <v>2.1158724427475053</v>
      </c>
      <c r="S47" s="47"/>
      <c r="T47" s="20">
        <f>T46/T45</f>
        <v>16.261904761904763</v>
      </c>
      <c r="U47" s="20">
        <f>U46/U45</f>
        <v>2.0404646291535751</v>
      </c>
      <c r="V47" s="47"/>
      <c r="W47" s="20">
        <f>W46/W45</f>
        <v>2.3463712464480455</v>
      </c>
      <c r="X47" s="20">
        <f>X46/X45</f>
        <v>2.1053944104514635</v>
      </c>
      <c r="Y47" s="47"/>
      <c r="Z47" s="20">
        <f>Z46/Z45</f>
        <v>2.26125</v>
      </c>
      <c r="AA47" s="20">
        <f>AA46/AA45</f>
        <v>2.1704500000000002</v>
      </c>
      <c r="AB47" s="47"/>
      <c r="AC47" s="20">
        <f>AC46/AC45</f>
        <v>2.3391885240137826</v>
      </c>
      <c r="AD47" s="20">
        <f>AD46/AD45</f>
        <v>2.1129954724696947</v>
      </c>
      <c r="AE47" s="47"/>
      <c r="AF47" s="20">
        <f>AF46/AF45</f>
        <v>2.3621963780362196</v>
      </c>
      <c r="AG47" s="20">
        <f>AG46/AG45</f>
        <v>2.0380562353293712</v>
      </c>
      <c r="AH47" s="47"/>
      <c r="AI47" s="20">
        <f>AI46/AI45</f>
        <v>2.348687714430806</v>
      </c>
      <c r="AJ47" s="20">
        <f>AJ46/AJ45</f>
        <v>2.1051475433843452</v>
      </c>
      <c r="AK47" s="47"/>
      <c r="AL47" s="20">
        <f>AL46/AL45</f>
        <v>2.400529973501325</v>
      </c>
      <c r="AM47" s="20">
        <f>AM46/AM45</f>
        <v>3.5454545454545454</v>
      </c>
      <c r="AN47" s="47"/>
      <c r="AO47" s="20">
        <f>AO46/AO45</f>
        <v>2.3526421368968622</v>
      </c>
      <c r="AP47" s="20">
        <f>AP46/AP45</f>
        <v>2.1127308672805785</v>
      </c>
      <c r="AQ47" s="47"/>
      <c r="AR47" s="20">
        <f>AR46/AR45</f>
        <v>4.7787878787878784</v>
      </c>
      <c r="AS47" s="20">
        <f>AS46/AS45</f>
        <v>2.1508047922155344</v>
      </c>
      <c r="AT47" s="47"/>
      <c r="AU47" s="20">
        <f>AU46/AU45</f>
        <v>2.3647944082692045</v>
      </c>
      <c r="AV47" s="20">
        <f>AV46/AV45</f>
        <v>2.120838127684666</v>
      </c>
      <c r="AW47" s="47"/>
      <c r="AX47" s="20">
        <f>AX46/AX45</f>
        <v>51.535526315789475</v>
      </c>
      <c r="AY47" s="20">
        <f>AY46/AY45</f>
        <v>2.1859077940185223</v>
      </c>
      <c r="AZ47" s="47"/>
      <c r="BA47" s="20">
        <f>BA46/BA45</f>
        <v>2.5061901230457222</v>
      </c>
      <c r="BB47" s="20">
        <f>BB46/BB45</f>
        <v>2.1408292483660132</v>
      </c>
      <c r="BC47" s="47"/>
      <c r="BD47" s="20">
        <f>BD46/BD45</f>
        <v>1.7223926380368098</v>
      </c>
      <c r="BE47" s="20">
        <f>BE46/BE45</f>
        <v>2.5430680507497114</v>
      </c>
      <c r="BF47" s="47"/>
      <c r="BG47" s="20">
        <f>BG46/BG45</f>
        <v>2.5042612778549431</v>
      </c>
      <c r="BH47" s="20">
        <f>BH46/BH45</f>
        <v>2.1641291653638421</v>
      </c>
      <c r="BI47" s="47"/>
      <c r="BJ47" s="20">
        <f>BJ46/BJ45</f>
        <v>2.2696999999999998</v>
      </c>
      <c r="BK47" s="20">
        <f>BK46/BK45</f>
        <v>2.3149805825242717</v>
      </c>
      <c r="BL47" s="47"/>
      <c r="BM47" s="20">
        <f>BM46/BM45</f>
        <v>2.4670227087990244</v>
      </c>
      <c r="BN47" s="20">
        <f>BN46/BN45</f>
        <v>2.1966901864468227</v>
      </c>
      <c r="BO47" s="47"/>
      <c r="BP47" s="20" t="e">
        <f>BP46/BP45</f>
        <v>#DIV/0!</v>
      </c>
      <c r="BQ47" s="20">
        <f>BQ46/BQ45</f>
        <v>2.2266320103968811</v>
      </c>
      <c r="BR47" s="47"/>
      <c r="BS47" s="20">
        <f>BS46/BS45</f>
        <v>2.4670227087990244</v>
      </c>
      <c r="BT47" s="20">
        <f>BT46/BT45</f>
        <v>2.1978949824313698</v>
      </c>
      <c r="BU47" s="47"/>
      <c r="BV47" s="20">
        <f>BV46/BV45</f>
        <v>2.0961843004550835</v>
      </c>
      <c r="BW47" s="20">
        <f>BW46/BW45</f>
        <v>2.6461571428571427</v>
      </c>
      <c r="BX47" s="47"/>
      <c r="BY47" s="20">
        <f>BY46/BY45</f>
        <v>2.4076888404061525</v>
      </c>
      <c r="BZ47" s="20">
        <f>BZ46/BZ45</f>
        <v>2.2963842980070401</v>
      </c>
      <c r="CA47" s="47"/>
      <c r="CB47" s="6"/>
    </row>
    <row r="48" spans="1:80" s="1" customFormat="1" ht="19.5" customHeight="1">
      <c r="A48" s="164" t="s">
        <v>95</v>
      </c>
      <c r="B48" s="133" t="s">
        <v>33</v>
      </c>
      <c r="C48" s="32" t="s">
        <v>42</v>
      </c>
      <c r="D48" s="22">
        <v>0</v>
      </c>
      <c r="E48" s="22">
        <v>1826</v>
      </c>
      <c r="F48" s="22">
        <v>61</v>
      </c>
      <c r="G48" s="22">
        <v>1289</v>
      </c>
      <c r="H48" s="22">
        <v>2</v>
      </c>
      <c r="I48" s="22">
        <v>5</v>
      </c>
      <c r="J48" s="22">
        <v>0</v>
      </c>
      <c r="K48" s="22">
        <v>0</v>
      </c>
      <c r="L48" s="22">
        <v>0</v>
      </c>
      <c r="M48" s="43" t="e">
        <f t="shared" si="0"/>
        <v>#DIV/0!</v>
      </c>
      <c r="N48" s="23">
        <f>Q48-K48</f>
        <v>0</v>
      </c>
      <c r="O48" s="22">
        <f>R48-L48</f>
        <v>0</v>
      </c>
      <c r="P48" s="15" t="e">
        <f t="shared" si="1"/>
        <v>#DIV/0!</v>
      </c>
      <c r="Q48" s="22">
        <v>0</v>
      </c>
      <c r="R48" s="22">
        <v>0</v>
      </c>
      <c r="S48" s="15" t="e">
        <f t="shared" si="2"/>
        <v>#DIV/0!</v>
      </c>
      <c r="T48" s="23">
        <f>W48-Q48</f>
        <v>0</v>
      </c>
      <c r="U48" s="22">
        <f>X48-R48</f>
        <v>0</v>
      </c>
      <c r="V48" s="15" t="e">
        <f t="shared" ref="V48:V49" si="293">(U48/T48-1)*100</f>
        <v>#DIV/0!</v>
      </c>
      <c r="W48" s="22">
        <v>0</v>
      </c>
      <c r="X48" s="22">
        <v>0</v>
      </c>
      <c r="Y48" s="15" t="e">
        <f t="shared" ref="Y48:Y49" si="294">(X48/W48-1)*100</f>
        <v>#DIV/0!</v>
      </c>
      <c r="Z48" s="23">
        <f>AC48-W48</f>
        <v>0</v>
      </c>
      <c r="AA48" s="22">
        <f>AD48-X48</f>
        <v>0</v>
      </c>
      <c r="AB48" s="15" t="e">
        <f t="shared" ref="AB48:AB49" si="295">(AA48/Z48-1)*100</f>
        <v>#DIV/0!</v>
      </c>
      <c r="AC48" s="22">
        <v>0</v>
      </c>
      <c r="AD48" s="22">
        <v>0</v>
      </c>
      <c r="AE48" s="15" t="e">
        <f t="shared" ref="AE48:AE49" si="296">(AD48/AC48-1)*100</f>
        <v>#DIV/0!</v>
      </c>
      <c r="AF48" s="23">
        <f>AI48-AC48</f>
        <v>0</v>
      </c>
      <c r="AG48" s="22">
        <f>AJ48-AD48</f>
        <v>0</v>
      </c>
      <c r="AH48" s="15" t="e">
        <f t="shared" ref="AH48:AH49" si="297">(AG48/AF48-1)*100</f>
        <v>#DIV/0!</v>
      </c>
      <c r="AI48" s="22">
        <v>0</v>
      </c>
      <c r="AJ48" s="22">
        <v>0</v>
      </c>
      <c r="AK48" s="15" t="e">
        <f t="shared" ref="AK48:AK49" si="298">(AJ48/AI48-1)*100</f>
        <v>#DIV/0!</v>
      </c>
      <c r="AL48" s="23">
        <f>AO48-AI48</f>
        <v>0</v>
      </c>
      <c r="AM48" s="22">
        <f>AP48-AJ48</f>
        <v>0</v>
      </c>
      <c r="AN48" s="15" t="e">
        <f t="shared" ref="AN48:AN49" si="299">(AM48/AL48-1)*100</f>
        <v>#DIV/0!</v>
      </c>
      <c r="AO48" s="22">
        <v>0</v>
      </c>
      <c r="AP48" s="22">
        <v>0</v>
      </c>
      <c r="AQ48" s="15" t="e">
        <f t="shared" ref="AQ48:AQ49" si="300">(AP48/AO48-1)*100</f>
        <v>#DIV/0!</v>
      </c>
      <c r="AR48" s="23">
        <f>AU48-AO48</f>
        <v>0</v>
      </c>
      <c r="AS48" s="22">
        <f>AV48-AP48</f>
        <v>0</v>
      </c>
      <c r="AT48" s="15" t="e">
        <f t="shared" ref="AT48:AT49" si="301">(AS48/AR48-1)*100</f>
        <v>#DIV/0!</v>
      </c>
      <c r="AU48" s="22">
        <v>0</v>
      </c>
      <c r="AV48" s="22">
        <v>0</v>
      </c>
      <c r="AW48" s="15" t="e">
        <f t="shared" ref="AW48:AW49" si="302">(AV48/AU48-1)*100</f>
        <v>#DIV/0!</v>
      </c>
      <c r="AX48" s="23">
        <f>BA48-AU48</f>
        <v>0</v>
      </c>
      <c r="AY48" s="22">
        <f>BB48-AV48</f>
        <v>0</v>
      </c>
      <c r="AZ48" s="15" t="e">
        <f t="shared" ref="AZ48:AZ49" si="303">(AY48/AX48-1)*100</f>
        <v>#DIV/0!</v>
      </c>
      <c r="BA48" s="22">
        <v>0</v>
      </c>
      <c r="BB48" s="22">
        <v>0</v>
      </c>
      <c r="BC48" s="15" t="e">
        <f t="shared" ref="BC48:BC49" si="304">(BB48/BA48-1)*100</f>
        <v>#DIV/0!</v>
      </c>
      <c r="BD48" s="23">
        <f>BG48-BA48</f>
        <v>0</v>
      </c>
      <c r="BE48" s="22">
        <f>BH48-BB48</f>
        <v>0</v>
      </c>
      <c r="BF48" s="15" t="e">
        <f t="shared" ref="BF48:BF49" si="305">(BE48/BD48-1)*100</f>
        <v>#DIV/0!</v>
      </c>
      <c r="BG48" s="22">
        <v>0</v>
      </c>
      <c r="BH48" s="22">
        <v>0</v>
      </c>
      <c r="BI48" s="15" t="e">
        <f t="shared" ref="BI48:BI49" si="306">(BH48/BG48-1)*100</f>
        <v>#DIV/0!</v>
      </c>
      <c r="BJ48" s="23">
        <f>BM48-BG48</f>
        <v>0</v>
      </c>
      <c r="BK48" s="22">
        <f>BN48-BH48</f>
        <v>0</v>
      </c>
      <c r="BL48" s="15" t="e">
        <f t="shared" ref="BL48:BL49" si="307">(BK48/BJ48-1)*100</f>
        <v>#DIV/0!</v>
      </c>
      <c r="BM48" s="22">
        <v>0</v>
      </c>
      <c r="BN48" s="22">
        <v>0</v>
      </c>
      <c r="BO48" s="15" t="e">
        <f t="shared" ref="BO48:BO49" si="308">(BN48/BM48-1)*100</f>
        <v>#DIV/0!</v>
      </c>
      <c r="BP48" s="23">
        <f>BS48-BM48</f>
        <v>0</v>
      </c>
      <c r="BQ48" s="22">
        <f>BT48-BN48</f>
        <v>0</v>
      </c>
      <c r="BR48" s="15" t="e">
        <f t="shared" ref="BR48:BR49" si="309">(BQ48/BP48-1)*100</f>
        <v>#DIV/0!</v>
      </c>
      <c r="BS48" s="22">
        <v>0</v>
      </c>
      <c r="BT48" s="22">
        <v>0</v>
      </c>
      <c r="BU48" s="15" t="e">
        <f t="shared" ref="BU48:BU49" si="310">(BT48/BS48-1)*100</f>
        <v>#DIV/0!</v>
      </c>
      <c r="BV48" s="23">
        <f>BY48-BS48</f>
        <v>0</v>
      </c>
      <c r="BW48" s="22">
        <f>BZ48-BT48</f>
        <v>0</v>
      </c>
      <c r="BX48" s="15" t="e">
        <f t="shared" ref="BX48:BX49" si="311">(BW48/BV48-1)*100</f>
        <v>#DIV/0!</v>
      </c>
      <c r="BY48" s="22">
        <v>0</v>
      </c>
      <c r="BZ48" s="22">
        <v>0</v>
      </c>
      <c r="CA48" s="15" t="e">
        <f t="shared" ref="CA48:CA49" si="312">(BZ48/BY48-1)*100</f>
        <v>#DIV/0!</v>
      </c>
      <c r="CB48" s="6"/>
    </row>
    <row r="49" spans="1:80" s="1" customFormat="1" ht="19.5" customHeight="1">
      <c r="A49" s="154"/>
      <c r="B49" s="167"/>
      <c r="C49" s="33" t="s">
        <v>104</v>
      </c>
      <c r="D49" s="17">
        <v>0</v>
      </c>
      <c r="E49" s="17">
        <v>122474</v>
      </c>
      <c r="F49" s="17">
        <v>21639</v>
      </c>
      <c r="G49" s="17">
        <v>85049</v>
      </c>
      <c r="H49" s="17">
        <v>302</v>
      </c>
      <c r="I49" s="17">
        <v>76</v>
      </c>
      <c r="J49" s="17">
        <v>0</v>
      </c>
      <c r="K49" s="17">
        <v>0</v>
      </c>
      <c r="L49" s="17">
        <v>0</v>
      </c>
      <c r="M49" s="44" t="e">
        <f t="shared" si="0"/>
        <v>#DIV/0!</v>
      </c>
      <c r="N49" s="14">
        <f>Q49-K49</f>
        <v>0</v>
      </c>
      <c r="O49" s="14">
        <f>R49-L49</f>
        <v>0</v>
      </c>
      <c r="P49" s="18" t="e">
        <f t="shared" si="1"/>
        <v>#DIV/0!</v>
      </c>
      <c r="Q49" s="17">
        <v>0</v>
      </c>
      <c r="R49" s="17">
        <v>0</v>
      </c>
      <c r="S49" s="18" t="e">
        <f t="shared" si="2"/>
        <v>#DIV/0!</v>
      </c>
      <c r="T49" s="14">
        <f>W49-Q49</f>
        <v>0</v>
      </c>
      <c r="U49" s="14">
        <f>X49-R49</f>
        <v>0</v>
      </c>
      <c r="V49" s="18" t="e">
        <f t="shared" si="293"/>
        <v>#DIV/0!</v>
      </c>
      <c r="W49" s="17">
        <v>0</v>
      </c>
      <c r="X49" s="17">
        <v>0</v>
      </c>
      <c r="Y49" s="18" t="e">
        <f t="shared" si="294"/>
        <v>#DIV/0!</v>
      </c>
      <c r="Z49" s="14">
        <f>AC49-W49</f>
        <v>0</v>
      </c>
      <c r="AA49" s="14">
        <f>AD49-X49</f>
        <v>0</v>
      </c>
      <c r="AB49" s="18" t="e">
        <f t="shared" si="295"/>
        <v>#DIV/0!</v>
      </c>
      <c r="AC49" s="17">
        <v>0</v>
      </c>
      <c r="AD49" s="17">
        <v>0</v>
      </c>
      <c r="AE49" s="18" t="e">
        <f t="shared" si="296"/>
        <v>#DIV/0!</v>
      </c>
      <c r="AF49" s="14">
        <f>AI49-AC49</f>
        <v>0</v>
      </c>
      <c r="AG49" s="14">
        <f>AJ49-AD49</f>
        <v>0</v>
      </c>
      <c r="AH49" s="18" t="e">
        <f t="shared" si="297"/>
        <v>#DIV/0!</v>
      </c>
      <c r="AI49" s="17">
        <v>0</v>
      </c>
      <c r="AJ49" s="17">
        <v>0</v>
      </c>
      <c r="AK49" s="18" t="e">
        <f t="shared" si="298"/>
        <v>#DIV/0!</v>
      </c>
      <c r="AL49" s="14">
        <f>AO49-AI49</f>
        <v>0</v>
      </c>
      <c r="AM49" s="14">
        <f>AP49-AJ49</f>
        <v>0</v>
      </c>
      <c r="AN49" s="18" t="e">
        <f t="shared" si="299"/>
        <v>#DIV/0!</v>
      </c>
      <c r="AO49" s="17">
        <v>0</v>
      </c>
      <c r="AP49" s="17">
        <v>0</v>
      </c>
      <c r="AQ49" s="18" t="e">
        <f t="shared" si="300"/>
        <v>#DIV/0!</v>
      </c>
      <c r="AR49" s="14">
        <f>AU49-AO49</f>
        <v>0</v>
      </c>
      <c r="AS49" s="14">
        <f>AV49-AP49</f>
        <v>0</v>
      </c>
      <c r="AT49" s="18" t="e">
        <f t="shared" si="301"/>
        <v>#DIV/0!</v>
      </c>
      <c r="AU49" s="17">
        <v>0</v>
      </c>
      <c r="AV49" s="17">
        <v>0</v>
      </c>
      <c r="AW49" s="18" t="e">
        <f t="shared" si="302"/>
        <v>#DIV/0!</v>
      </c>
      <c r="AX49" s="14">
        <f>BA49-AU49</f>
        <v>0</v>
      </c>
      <c r="AY49" s="14">
        <f>BB49-AV49</f>
        <v>0</v>
      </c>
      <c r="AZ49" s="18" t="e">
        <f t="shared" si="303"/>
        <v>#DIV/0!</v>
      </c>
      <c r="BA49" s="17">
        <v>0</v>
      </c>
      <c r="BB49" s="17">
        <v>0</v>
      </c>
      <c r="BC49" s="18" t="e">
        <f t="shared" si="304"/>
        <v>#DIV/0!</v>
      </c>
      <c r="BD49" s="14">
        <f>BG49-BA49</f>
        <v>0</v>
      </c>
      <c r="BE49" s="14">
        <f>BH49-BB49</f>
        <v>0</v>
      </c>
      <c r="BF49" s="18" t="e">
        <f t="shared" si="305"/>
        <v>#DIV/0!</v>
      </c>
      <c r="BG49" s="17">
        <v>0</v>
      </c>
      <c r="BH49" s="17">
        <v>0</v>
      </c>
      <c r="BI49" s="18" t="e">
        <f t="shared" si="306"/>
        <v>#DIV/0!</v>
      </c>
      <c r="BJ49" s="14">
        <f>BM49-BG49</f>
        <v>0</v>
      </c>
      <c r="BK49" s="14">
        <f>BN49-BH49</f>
        <v>0</v>
      </c>
      <c r="BL49" s="18" t="e">
        <f t="shared" si="307"/>
        <v>#DIV/0!</v>
      </c>
      <c r="BM49" s="17">
        <v>0</v>
      </c>
      <c r="BN49" s="17">
        <v>0</v>
      </c>
      <c r="BO49" s="18" t="e">
        <f t="shared" si="308"/>
        <v>#DIV/0!</v>
      </c>
      <c r="BP49" s="14">
        <f>BS49-BM49</f>
        <v>0</v>
      </c>
      <c r="BQ49" s="14">
        <f>BT49-BN49</f>
        <v>0</v>
      </c>
      <c r="BR49" s="18" t="e">
        <f t="shared" si="309"/>
        <v>#DIV/0!</v>
      </c>
      <c r="BS49" s="17">
        <v>0</v>
      </c>
      <c r="BT49" s="17">
        <v>0</v>
      </c>
      <c r="BU49" s="18" t="e">
        <f t="shared" si="310"/>
        <v>#DIV/0!</v>
      </c>
      <c r="BV49" s="14">
        <f>BY49-BS49</f>
        <v>0</v>
      </c>
      <c r="BW49" s="14">
        <f>BZ49-BT49</f>
        <v>38</v>
      </c>
      <c r="BX49" s="18" t="e">
        <f t="shared" si="311"/>
        <v>#DIV/0!</v>
      </c>
      <c r="BY49" s="17">
        <v>0</v>
      </c>
      <c r="BZ49" s="17">
        <v>38</v>
      </c>
      <c r="CA49" s="18" t="e">
        <f t="shared" si="312"/>
        <v>#DIV/0!</v>
      </c>
      <c r="CB49" s="6"/>
    </row>
    <row r="50" spans="1:80" s="1" customFormat="1" ht="19.5" customHeight="1">
      <c r="A50" s="155"/>
      <c r="B50" s="168"/>
      <c r="C50" s="34" t="s">
        <v>105</v>
      </c>
      <c r="D50" s="52" t="e">
        <f t="shared" ref="D50:L50" si="313">D49/D48</f>
        <v>#DIV/0!</v>
      </c>
      <c r="E50" s="52">
        <f t="shared" si="313"/>
        <v>67.07228915662651</v>
      </c>
      <c r="F50" s="52">
        <f t="shared" si="313"/>
        <v>354.73770491803276</v>
      </c>
      <c r="G50" s="52">
        <f t="shared" si="313"/>
        <v>65.980605120248256</v>
      </c>
      <c r="H50" s="53">
        <f>H49/H48</f>
        <v>151</v>
      </c>
      <c r="I50" s="53">
        <f>I49/I48</f>
        <v>15.2</v>
      </c>
      <c r="J50" s="53" t="e">
        <f>J49/J48</f>
        <v>#DIV/0!</v>
      </c>
      <c r="K50" s="53" t="e">
        <f t="shared" si="313"/>
        <v>#DIV/0!</v>
      </c>
      <c r="L50" s="53" t="e">
        <f t="shared" si="313"/>
        <v>#DIV/0!</v>
      </c>
      <c r="M50" s="54"/>
      <c r="N50" s="53" t="e">
        <f>N49/N48</f>
        <v>#DIV/0!</v>
      </c>
      <c r="O50" s="53" t="e">
        <f>O49/O48</f>
        <v>#DIV/0!</v>
      </c>
      <c r="P50" s="55"/>
      <c r="Q50" s="53" t="e">
        <f>Q49/Q48</f>
        <v>#DIV/0!</v>
      </c>
      <c r="R50" s="53" t="e">
        <f>R49/R48</f>
        <v>#DIV/0!</v>
      </c>
      <c r="S50" s="55"/>
      <c r="T50" s="53" t="e">
        <f>T49/T48</f>
        <v>#DIV/0!</v>
      </c>
      <c r="U50" s="53" t="e">
        <f>U49/U48</f>
        <v>#DIV/0!</v>
      </c>
      <c r="V50" s="55"/>
      <c r="W50" s="53" t="e">
        <f>W49/W48</f>
        <v>#DIV/0!</v>
      </c>
      <c r="X50" s="53" t="e">
        <f>X49/X48</f>
        <v>#DIV/0!</v>
      </c>
      <c r="Y50" s="55"/>
      <c r="Z50" s="53" t="e">
        <f>Z49/Z48</f>
        <v>#DIV/0!</v>
      </c>
      <c r="AA50" s="53" t="e">
        <f>AA49/AA48</f>
        <v>#DIV/0!</v>
      </c>
      <c r="AB50" s="55"/>
      <c r="AC50" s="53" t="e">
        <f>AC49/AC48</f>
        <v>#DIV/0!</v>
      </c>
      <c r="AD50" s="53" t="e">
        <f>AD49/AD48</f>
        <v>#DIV/0!</v>
      </c>
      <c r="AE50" s="55"/>
      <c r="AF50" s="53" t="e">
        <f>AF49/AF48</f>
        <v>#DIV/0!</v>
      </c>
      <c r="AG50" s="53" t="e">
        <f>AG49/AG48</f>
        <v>#DIV/0!</v>
      </c>
      <c r="AH50" s="55"/>
      <c r="AI50" s="53" t="e">
        <f>AI49/AI48</f>
        <v>#DIV/0!</v>
      </c>
      <c r="AJ50" s="53" t="e">
        <f>AJ49/AJ48</f>
        <v>#DIV/0!</v>
      </c>
      <c r="AK50" s="55"/>
      <c r="AL50" s="53" t="e">
        <f>AL49/AL48</f>
        <v>#DIV/0!</v>
      </c>
      <c r="AM50" s="53" t="e">
        <f>AM49/AM48</f>
        <v>#DIV/0!</v>
      </c>
      <c r="AN50" s="55"/>
      <c r="AO50" s="53" t="e">
        <f>AO49/AO48</f>
        <v>#DIV/0!</v>
      </c>
      <c r="AP50" s="53" t="e">
        <f>AP49/AP48</f>
        <v>#DIV/0!</v>
      </c>
      <c r="AQ50" s="55"/>
      <c r="AR50" s="53" t="e">
        <f>AR49/AR48</f>
        <v>#DIV/0!</v>
      </c>
      <c r="AS50" s="53" t="e">
        <f>AS49/AS48</f>
        <v>#DIV/0!</v>
      </c>
      <c r="AT50" s="55"/>
      <c r="AU50" s="53" t="e">
        <f>AU49/AU48</f>
        <v>#DIV/0!</v>
      </c>
      <c r="AV50" s="53" t="e">
        <f>AV49/AV48</f>
        <v>#DIV/0!</v>
      </c>
      <c r="AW50" s="55"/>
      <c r="AX50" s="53" t="e">
        <f>AX49/AX48</f>
        <v>#DIV/0!</v>
      </c>
      <c r="AY50" s="53" t="e">
        <f>AY49/AY48</f>
        <v>#DIV/0!</v>
      </c>
      <c r="AZ50" s="55"/>
      <c r="BA50" s="53" t="e">
        <f>BA49/BA48</f>
        <v>#DIV/0!</v>
      </c>
      <c r="BB50" s="53" t="e">
        <f>BB49/BB48</f>
        <v>#DIV/0!</v>
      </c>
      <c r="BC50" s="55"/>
      <c r="BD50" s="53" t="e">
        <f>BD49/BD48</f>
        <v>#DIV/0!</v>
      </c>
      <c r="BE50" s="53" t="e">
        <f>BE49/BE48</f>
        <v>#DIV/0!</v>
      </c>
      <c r="BF50" s="55"/>
      <c r="BG50" s="53" t="e">
        <f>BG49/BG48</f>
        <v>#DIV/0!</v>
      </c>
      <c r="BH50" s="53" t="e">
        <f>BH49/BH48</f>
        <v>#DIV/0!</v>
      </c>
      <c r="BI50" s="55"/>
      <c r="BJ50" s="53" t="e">
        <f>BJ49/BJ48</f>
        <v>#DIV/0!</v>
      </c>
      <c r="BK50" s="53" t="e">
        <f>BK49/BK48</f>
        <v>#DIV/0!</v>
      </c>
      <c r="BL50" s="55"/>
      <c r="BM50" s="53" t="e">
        <f>BM49/BM48</f>
        <v>#DIV/0!</v>
      </c>
      <c r="BN50" s="53" t="e">
        <f>BN49/BN48</f>
        <v>#DIV/0!</v>
      </c>
      <c r="BO50" s="55"/>
      <c r="BP50" s="53" t="e">
        <f>BP49/BP48</f>
        <v>#DIV/0!</v>
      </c>
      <c r="BQ50" s="53" t="e">
        <f>BQ49/BQ48</f>
        <v>#DIV/0!</v>
      </c>
      <c r="BR50" s="55"/>
      <c r="BS50" s="53" t="e">
        <f>BS49/BS48</f>
        <v>#DIV/0!</v>
      </c>
      <c r="BT50" s="53" t="e">
        <f>BT49/BT48</f>
        <v>#DIV/0!</v>
      </c>
      <c r="BU50" s="55"/>
      <c r="BV50" s="53" t="e">
        <f>BV49/BV48</f>
        <v>#DIV/0!</v>
      </c>
      <c r="BW50" s="53" t="e">
        <f>BW49/BW48</f>
        <v>#DIV/0!</v>
      </c>
      <c r="BX50" s="55"/>
      <c r="BY50" s="53" t="e">
        <f>BY49/BY48</f>
        <v>#DIV/0!</v>
      </c>
      <c r="BZ50" s="53" t="e">
        <f>BZ49/BZ48</f>
        <v>#DIV/0!</v>
      </c>
      <c r="CA50" s="55"/>
      <c r="CB50" s="6"/>
    </row>
    <row r="51" spans="1:80" s="1" customFormat="1" ht="19.5" customHeight="1">
      <c r="A51" s="156" t="s">
        <v>96</v>
      </c>
      <c r="B51" s="125" t="s">
        <v>34</v>
      </c>
      <c r="C51" s="32" t="s">
        <v>42</v>
      </c>
      <c r="D51" s="14">
        <v>211240</v>
      </c>
      <c r="E51" s="14">
        <v>94987</v>
      </c>
      <c r="F51" s="14">
        <v>409600</v>
      </c>
      <c r="G51" s="14">
        <v>1148806</v>
      </c>
      <c r="H51" s="14">
        <v>802638</v>
      </c>
      <c r="I51" s="14">
        <v>2536366</v>
      </c>
      <c r="J51" s="14">
        <v>2643669</v>
      </c>
      <c r="K51" s="14">
        <v>32003</v>
      </c>
      <c r="L51" s="14">
        <v>68000</v>
      </c>
      <c r="M51" s="43">
        <f t="shared" si="0"/>
        <v>112.48007999250072</v>
      </c>
      <c r="N51" s="16">
        <f>Q51-K51</f>
        <v>32000</v>
      </c>
      <c r="O51" s="14">
        <f>R51-L51</f>
        <v>302377</v>
      </c>
      <c r="P51" s="15">
        <f t="shared" si="1"/>
        <v>844.92812500000002</v>
      </c>
      <c r="Q51" s="14">
        <v>64003</v>
      </c>
      <c r="R51" s="14">
        <v>370377</v>
      </c>
      <c r="S51" s="15">
        <f t="shared" si="2"/>
        <v>478.68693654984924</v>
      </c>
      <c r="T51" s="16">
        <f>W51-Q51</f>
        <v>292504</v>
      </c>
      <c r="U51" s="14">
        <f>X51-R51</f>
        <v>52003</v>
      </c>
      <c r="V51" s="15">
        <f t="shared" ref="V51:V52" si="314">(U51/T51-1)*100</f>
        <v>-82.221439706807431</v>
      </c>
      <c r="W51" s="14">
        <v>356507</v>
      </c>
      <c r="X51" s="14">
        <v>422380</v>
      </c>
      <c r="Y51" s="15">
        <f t="shared" ref="Y51:Y52" si="315">(X51/W51-1)*100</f>
        <v>18.477337050885389</v>
      </c>
      <c r="Z51" s="16">
        <f>AC51-W51</f>
        <v>292468</v>
      </c>
      <c r="AA51" s="14">
        <f>AD51-X51</f>
        <v>613339</v>
      </c>
      <c r="AB51" s="15">
        <f t="shared" ref="AB51:AB52" si="316">(AA51/Z51-1)*100</f>
        <v>109.71148980401276</v>
      </c>
      <c r="AC51" s="14">
        <v>648975</v>
      </c>
      <c r="AD51" s="14">
        <v>1035719</v>
      </c>
      <c r="AE51" s="15">
        <f t="shared" ref="AE51:AE52" si="317">(AD51/AC51-1)*100</f>
        <v>59.593050579760387</v>
      </c>
      <c r="AF51" s="16">
        <f>AI51-AC51</f>
        <v>32000</v>
      </c>
      <c r="AG51" s="14">
        <f>AJ51-AD51</f>
        <v>304133</v>
      </c>
      <c r="AH51" s="15">
        <f t="shared" ref="AH51:AH52" si="318">(AG51/AF51-1)*100</f>
        <v>850.41562499999998</v>
      </c>
      <c r="AI51" s="14">
        <v>680975</v>
      </c>
      <c r="AJ51" s="14">
        <v>1339852</v>
      </c>
      <c r="AK51" s="15">
        <f t="shared" ref="AK51:AK52" si="319">(AJ51/AI51-1)*100</f>
        <v>96.75494695106282</v>
      </c>
      <c r="AL51" s="16">
        <f>AO51-AI51</f>
        <v>325693</v>
      </c>
      <c r="AM51" s="14">
        <f>AP51-AJ51</f>
        <v>312476</v>
      </c>
      <c r="AN51" s="15">
        <f t="shared" ref="AN51:AN52" si="320">(AM51/AL51-1)*100</f>
        <v>-4.0581160786384736</v>
      </c>
      <c r="AO51" s="14">
        <v>1006668</v>
      </c>
      <c r="AP51" s="14">
        <v>1652328</v>
      </c>
      <c r="AQ51" s="15">
        <f t="shared" ref="AQ51:AQ52" si="321">(AP51/AO51-1)*100</f>
        <v>64.138325644601807</v>
      </c>
      <c r="AR51" s="16">
        <f>AU51-AO51</f>
        <v>302759</v>
      </c>
      <c r="AS51" s="14">
        <f>AV51-AP51</f>
        <v>72203</v>
      </c>
      <c r="AT51" s="15">
        <f t="shared" ref="AT51:AT52" si="322">(AS51/AR51-1)*100</f>
        <v>-76.151658579926604</v>
      </c>
      <c r="AU51" s="14">
        <v>1309427</v>
      </c>
      <c r="AV51" s="14">
        <v>1724531</v>
      </c>
      <c r="AW51" s="15">
        <f t="shared" ref="AW51:AW52" si="323">(AV51/AU51-1)*100</f>
        <v>31.701194491941887</v>
      </c>
      <c r="AX51" s="16">
        <f>BA51-AU51</f>
        <v>328609</v>
      </c>
      <c r="AY51" s="14">
        <f>BB51-AV51</f>
        <v>52001</v>
      </c>
      <c r="AZ51" s="15">
        <f t="shared" ref="AZ51:AZ52" si="324">(AY51/AX51-1)*100</f>
        <v>-84.175418202179486</v>
      </c>
      <c r="BA51" s="14">
        <v>1638036</v>
      </c>
      <c r="BB51" s="14">
        <v>1776532</v>
      </c>
      <c r="BC51" s="15">
        <f t="shared" ref="BC51:BC52" si="325">(BB51/BA51-1)*100</f>
        <v>8.4550034309380351</v>
      </c>
      <c r="BD51" s="16">
        <f>BG51-BA51</f>
        <v>312565</v>
      </c>
      <c r="BE51" s="14">
        <f>BH51-BB51</f>
        <v>52000</v>
      </c>
      <c r="BF51" s="15">
        <f t="shared" ref="BF51:BF52" si="326">(BE51/BD51-1)*100</f>
        <v>-83.363460400236747</v>
      </c>
      <c r="BG51" s="14">
        <v>1950601</v>
      </c>
      <c r="BH51" s="14">
        <v>1828532</v>
      </c>
      <c r="BI51" s="15">
        <f t="shared" ref="BI51:BI52" si="327">(BH51/BG51-1)*100</f>
        <v>-6.2580199641033669</v>
      </c>
      <c r="BJ51" s="16">
        <f>BM51-BG51</f>
        <v>312544</v>
      </c>
      <c r="BK51" s="14">
        <f>BN51-BH51</f>
        <v>40001</v>
      </c>
      <c r="BL51" s="15">
        <f t="shared" ref="BL51:BL52" si="328">(BK51/BJ51-1)*100</f>
        <v>-87.201482031329988</v>
      </c>
      <c r="BM51" s="14">
        <v>2263145</v>
      </c>
      <c r="BN51" s="14">
        <v>1868533</v>
      </c>
      <c r="BO51" s="15">
        <f t="shared" ref="BO51:BO52" si="329">(BN51/BM51-1)*100</f>
        <v>-17.436443533224775</v>
      </c>
      <c r="BP51" s="16">
        <f>BS51-BM51</f>
        <v>344524</v>
      </c>
      <c r="BQ51" s="14">
        <f>BT51-BN51</f>
        <v>104100</v>
      </c>
      <c r="BR51" s="15">
        <f t="shared" ref="BR51:BR52" si="330">(BQ51/BP51-1)*100</f>
        <v>-69.784398184161333</v>
      </c>
      <c r="BS51" s="14">
        <v>2607669</v>
      </c>
      <c r="BT51" s="14">
        <v>1972633</v>
      </c>
      <c r="BU51" s="15">
        <f t="shared" ref="BU51:BU52" si="331">(BT51/BS51-1)*100</f>
        <v>-24.352630644456795</v>
      </c>
      <c r="BV51" s="16">
        <f>BY51-BS51</f>
        <v>36000</v>
      </c>
      <c r="BW51" s="14">
        <f>BZ51-BT51</f>
        <v>323874</v>
      </c>
      <c r="BX51" s="15">
        <f t="shared" ref="BX51:BX52" si="332">(BW51/BV51-1)*100</f>
        <v>799.65</v>
      </c>
      <c r="BY51" s="14">
        <v>2643669</v>
      </c>
      <c r="BZ51" s="14">
        <v>2296507</v>
      </c>
      <c r="CA51" s="15">
        <f t="shared" ref="CA51:CA52" si="333">(BZ51/BY51-1)*100</f>
        <v>-13.131825504630124</v>
      </c>
      <c r="CB51" s="6"/>
    </row>
    <row r="52" spans="1:80" s="1" customFormat="1" ht="19.5" customHeight="1">
      <c r="A52" s="165"/>
      <c r="B52" s="167"/>
      <c r="C52" s="33" t="s">
        <v>104</v>
      </c>
      <c r="D52" s="17">
        <v>3025274</v>
      </c>
      <c r="E52" s="17">
        <v>1483217</v>
      </c>
      <c r="F52" s="17">
        <v>4485044</v>
      </c>
      <c r="G52" s="17">
        <v>9021505</v>
      </c>
      <c r="H52" s="17">
        <v>4851532</v>
      </c>
      <c r="I52" s="17">
        <v>9937284</v>
      </c>
      <c r="J52" s="17">
        <v>7308232</v>
      </c>
      <c r="K52" s="17">
        <v>374974</v>
      </c>
      <c r="L52" s="17">
        <v>327088</v>
      </c>
      <c r="M52" s="44">
        <f t="shared" si="0"/>
        <v>-12.770485420322474</v>
      </c>
      <c r="N52" s="14">
        <f>Q52-K52</f>
        <v>326258</v>
      </c>
      <c r="O52" s="14">
        <f>R52-L52</f>
        <v>415793</v>
      </c>
      <c r="P52" s="18">
        <f t="shared" si="1"/>
        <v>27.443005228990547</v>
      </c>
      <c r="Q52" s="17">
        <v>701232</v>
      </c>
      <c r="R52" s="17">
        <v>742881</v>
      </c>
      <c r="S52" s="18">
        <f t="shared" si="2"/>
        <v>5.9394037921828957</v>
      </c>
      <c r="T52" s="14">
        <f>W52-Q52</f>
        <v>744086</v>
      </c>
      <c r="U52" s="14">
        <f>X52-R52</f>
        <v>333083</v>
      </c>
      <c r="V52" s="18">
        <f t="shared" si="314"/>
        <v>-55.235953908553583</v>
      </c>
      <c r="W52" s="17">
        <v>1445318</v>
      </c>
      <c r="X52" s="17">
        <v>1075964</v>
      </c>
      <c r="Y52" s="18">
        <f t="shared" si="315"/>
        <v>-25.555206535862695</v>
      </c>
      <c r="Z52" s="14">
        <f>AC52-W52</f>
        <v>683865</v>
      </c>
      <c r="AA52" s="14">
        <f>AD52-X52</f>
        <v>682438</v>
      </c>
      <c r="AB52" s="18">
        <f t="shared" si="316"/>
        <v>-0.20866691525374126</v>
      </c>
      <c r="AC52" s="17">
        <v>2129183</v>
      </c>
      <c r="AD52" s="17">
        <v>1758402</v>
      </c>
      <c r="AE52" s="18">
        <f t="shared" si="317"/>
        <v>-17.414238231284017</v>
      </c>
      <c r="AF52" s="14">
        <f>AI52-AC52</f>
        <v>247491</v>
      </c>
      <c r="AG52" s="14">
        <f>AJ52-AD52</f>
        <v>690436</v>
      </c>
      <c r="AH52" s="18">
        <f t="shared" si="318"/>
        <v>178.97418491985567</v>
      </c>
      <c r="AI52" s="17">
        <v>2376674</v>
      </c>
      <c r="AJ52" s="17">
        <v>2448838</v>
      </c>
      <c r="AK52" s="18">
        <f t="shared" si="319"/>
        <v>3.0363440673815578</v>
      </c>
      <c r="AL52" s="14">
        <f>AO52-AI52</f>
        <v>1014869</v>
      </c>
      <c r="AM52" s="14">
        <f>AP52-AJ52</f>
        <v>769851</v>
      </c>
      <c r="AN52" s="18">
        <f t="shared" si="320"/>
        <v>-24.142820403421528</v>
      </c>
      <c r="AO52" s="17">
        <v>3391543</v>
      </c>
      <c r="AP52" s="17">
        <v>3218689</v>
      </c>
      <c r="AQ52" s="18">
        <f t="shared" si="321"/>
        <v>-5.0966182649018421</v>
      </c>
      <c r="AR52" s="14">
        <f>AU52-AO52</f>
        <v>723115</v>
      </c>
      <c r="AS52" s="14">
        <f>AV52-AP52</f>
        <v>503228</v>
      </c>
      <c r="AT52" s="18">
        <f t="shared" si="322"/>
        <v>-30.408302967024614</v>
      </c>
      <c r="AU52" s="17">
        <v>4114658</v>
      </c>
      <c r="AV52" s="17">
        <v>3721917</v>
      </c>
      <c r="AW52" s="18">
        <f t="shared" si="323"/>
        <v>-9.5449245113445649</v>
      </c>
      <c r="AX52" s="14">
        <f>BA52-AU52</f>
        <v>911063</v>
      </c>
      <c r="AY52" s="14">
        <f>BB52-AV52</f>
        <v>334783</v>
      </c>
      <c r="AZ52" s="18">
        <f t="shared" si="324"/>
        <v>-63.253584000228301</v>
      </c>
      <c r="BA52" s="17">
        <v>5025721</v>
      </c>
      <c r="BB52" s="17">
        <v>4056700</v>
      </c>
      <c r="BC52" s="18">
        <f t="shared" si="325"/>
        <v>-19.28123347873867</v>
      </c>
      <c r="BD52" s="14">
        <f>BG52-BA52</f>
        <v>731174</v>
      </c>
      <c r="BE52" s="14">
        <f>BH52-BB52</f>
        <v>377901</v>
      </c>
      <c r="BF52" s="18">
        <f t="shared" si="326"/>
        <v>-48.315859152540988</v>
      </c>
      <c r="BG52" s="17">
        <v>5756895</v>
      </c>
      <c r="BH52" s="17">
        <v>4434601</v>
      </c>
      <c r="BI52" s="18">
        <f t="shared" si="327"/>
        <v>-22.968874714581389</v>
      </c>
      <c r="BJ52" s="14">
        <f>BM52-BG52</f>
        <v>646791</v>
      </c>
      <c r="BK52" s="14">
        <f>BN52-BH52</f>
        <v>314122</v>
      </c>
      <c r="BL52" s="18">
        <f t="shared" si="328"/>
        <v>-51.433770723464001</v>
      </c>
      <c r="BM52" s="17">
        <v>6403686</v>
      </c>
      <c r="BN52" s="17">
        <v>4748723</v>
      </c>
      <c r="BO52" s="18">
        <f t="shared" si="329"/>
        <v>-25.843912396704027</v>
      </c>
      <c r="BP52" s="14">
        <f>BS52-BM52</f>
        <v>728983</v>
      </c>
      <c r="BQ52" s="14">
        <f>BT52-BN52</f>
        <v>843993</v>
      </c>
      <c r="BR52" s="18">
        <f t="shared" si="330"/>
        <v>15.77677394397401</v>
      </c>
      <c r="BS52" s="17">
        <v>7132669</v>
      </c>
      <c r="BT52" s="17">
        <v>5592716</v>
      </c>
      <c r="BU52" s="18">
        <f t="shared" si="331"/>
        <v>-21.59013687583148</v>
      </c>
      <c r="BV52" s="14">
        <f>BY52-BS52</f>
        <v>175563</v>
      </c>
      <c r="BW52" s="14">
        <f>BZ52-BT52</f>
        <v>749154</v>
      </c>
      <c r="BX52" s="18">
        <f t="shared" si="332"/>
        <v>326.71519625433609</v>
      </c>
      <c r="BY52" s="17">
        <v>7308232</v>
      </c>
      <c r="BZ52" s="17">
        <v>6341870</v>
      </c>
      <c r="CA52" s="18">
        <f t="shared" si="333"/>
        <v>-13.222924504859723</v>
      </c>
      <c r="CB52" s="6"/>
    </row>
    <row r="53" spans="1:80" s="1" customFormat="1" ht="19.5" customHeight="1" thickBot="1">
      <c r="A53" s="166"/>
      <c r="B53" s="168"/>
      <c r="C53" s="34" t="s">
        <v>105</v>
      </c>
      <c r="D53" s="19">
        <f t="shared" ref="D53:L53" si="334">D52/D51</f>
        <v>14.321501609543647</v>
      </c>
      <c r="E53" s="19">
        <f t="shared" si="334"/>
        <v>15.614947308579069</v>
      </c>
      <c r="F53" s="19">
        <f t="shared" si="334"/>
        <v>10.949814453125001</v>
      </c>
      <c r="G53" s="19">
        <f t="shared" si="334"/>
        <v>7.8529403572056555</v>
      </c>
      <c r="H53" s="20">
        <f>H52/H51</f>
        <v>6.0444833162646177</v>
      </c>
      <c r="I53" s="20">
        <f>I52/I51</f>
        <v>3.9179219402877976</v>
      </c>
      <c r="J53" s="20">
        <f>J52/J51</f>
        <v>2.7644277706475355</v>
      </c>
      <c r="K53" s="20">
        <f t="shared" si="334"/>
        <v>11.716839046339405</v>
      </c>
      <c r="L53" s="20">
        <f t="shared" si="334"/>
        <v>4.8101176470588234</v>
      </c>
      <c r="M53" s="46"/>
      <c r="N53" s="20">
        <f>N52/N51</f>
        <v>10.195562499999999</v>
      </c>
      <c r="O53" s="20">
        <f>O52/O51</f>
        <v>1.3750814380723402</v>
      </c>
      <c r="P53" s="47"/>
      <c r="Q53" s="20">
        <f>Q52/Q51</f>
        <v>10.956236426417512</v>
      </c>
      <c r="R53" s="20">
        <f>R52/R51</f>
        <v>2.0057427972039301</v>
      </c>
      <c r="S53" s="47"/>
      <c r="T53" s="20">
        <f>T52/T51</f>
        <v>2.5438489730054972</v>
      </c>
      <c r="U53" s="20">
        <f>U52/U51</f>
        <v>6.4050727842624466</v>
      </c>
      <c r="V53" s="47"/>
      <c r="W53" s="20">
        <f>W52/W51</f>
        <v>4.0541083344787054</v>
      </c>
      <c r="X53" s="20">
        <f>X52/X51</f>
        <v>2.5473838723424405</v>
      </c>
      <c r="Y53" s="47"/>
      <c r="Z53" s="20">
        <f>Z52/Z51</f>
        <v>2.3382558091825429</v>
      </c>
      <c r="AA53" s="20">
        <f>AA52/AA51</f>
        <v>1.1126603721596051</v>
      </c>
      <c r="AB53" s="47"/>
      <c r="AC53" s="20">
        <f>AC52/AC51</f>
        <v>3.2808397858160947</v>
      </c>
      <c r="AD53" s="20">
        <f>AD52/AD51</f>
        <v>1.6977597205419617</v>
      </c>
      <c r="AE53" s="47"/>
      <c r="AF53" s="20">
        <f>AF52/AF51</f>
        <v>7.7340937500000004</v>
      </c>
      <c r="AG53" s="20">
        <f>AG52/AG51</f>
        <v>2.2701778498222818</v>
      </c>
      <c r="AH53" s="47"/>
      <c r="AI53" s="20">
        <f>AI52/AI51</f>
        <v>3.4901046293916811</v>
      </c>
      <c r="AJ53" s="20">
        <f>AJ52/AJ51</f>
        <v>1.8276929093661092</v>
      </c>
      <c r="AK53" s="47"/>
      <c r="AL53" s="20">
        <f>AL52/AL51</f>
        <v>3.1160295124549808</v>
      </c>
      <c r="AM53" s="20">
        <f>AM52/AM51</f>
        <v>2.4637124131133272</v>
      </c>
      <c r="AN53" s="47"/>
      <c r="AO53" s="20">
        <f>AO52/AO51</f>
        <v>3.369077987976175</v>
      </c>
      <c r="AP53" s="20">
        <f>AP52/AP51</f>
        <v>1.9479721943827133</v>
      </c>
      <c r="AQ53" s="47"/>
      <c r="AR53" s="20">
        <f>AR52/AR51</f>
        <v>2.3884178505015541</v>
      </c>
      <c r="AS53" s="20">
        <f>AS52/AS51</f>
        <v>6.9696273008046754</v>
      </c>
      <c r="AT53" s="47"/>
      <c r="AU53" s="20">
        <f>AU52/AU51</f>
        <v>3.14233477696733</v>
      </c>
      <c r="AV53" s="20">
        <f>AV52/AV51</f>
        <v>2.1582198290433747</v>
      </c>
      <c r="AW53" s="47"/>
      <c r="AX53" s="20">
        <f>AX52/AX51</f>
        <v>2.7724834073321181</v>
      </c>
      <c r="AY53" s="20">
        <f>AY52/AY51</f>
        <v>6.4380108074844715</v>
      </c>
      <c r="AZ53" s="47"/>
      <c r="BA53" s="20">
        <f>BA52/BA51</f>
        <v>3.0681383070945936</v>
      </c>
      <c r="BB53" s="20">
        <f>BB52/BB51</f>
        <v>2.2834939083562809</v>
      </c>
      <c r="BC53" s="47"/>
      <c r="BD53" s="20">
        <f>BD52/BD51</f>
        <v>2.3392702317917875</v>
      </c>
      <c r="BE53" s="20">
        <f>BE52/BE51</f>
        <v>7.2673269230769231</v>
      </c>
      <c r="BF53" s="47"/>
      <c r="BG53" s="20">
        <f>BG52/BG51</f>
        <v>2.9513442267280698</v>
      </c>
      <c r="BH53" s="20">
        <f>BH52/BH51</f>
        <v>2.4252247157829339</v>
      </c>
      <c r="BI53" s="47"/>
      <c r="BJ53" s="20">
        <f>BJ52/BJ51</f>
        <v>2.0694398228729396</v>
      </c>
      <c r="BK53" s="20">
        <f>BK52/BK51</f>
        <v>7.8528536786580334</v>
      </c>
      <c r="BL53" s="47"/>
      <c r="BM53" s="20">
        <f>BM52/BM51</f>
        <v>2.8295517962834906</v>
      </c>
      <c r="BN53" s="20">
        <f>BN52/BN51</f>
        <v>2.5414177860385663</v>
      </c>
      <c r="BO53" s="47"/>
      <c r="BP53" s="20">
        <f>BP52/BP51</f>
        <v>2.1159135502896751</v>
      </c>
      <c r="BQ53" s="20">
        <f>BQ52/BQ51</f>
        <v>8.1075216138328532</v>
      </c>
      <c r="BR53" s="47"/>
      <c r="BS53" s="20">
        <f>BS52/BS51</f>
        <v>2.7352662473649838</v>
      </c>
      <c r="BT53" s="20">
        <f>BT52/BT51</f>
        <v>2.8351528135238535</v>
      </c>
      <c r="BU53" s="47"/>
      <c r="BV53" s="20">
        <f>BV52/BV51</f>
        <v>4.8767500000000004</v>
      </c>
      <c r="BW53" s="20">
        <f>BW52/BW51</f>
        <v>2.3131032438540915</v>
      </c>
      <c r="BX53" s="47"/>
      <c r="BY53" s="20">
        <f>BY52/BY51</f>
        <v>2.7644277706475355</v>
      </c>
      <c r="BZ53" s="20">
        <f>BZ52/BZ51</f>
        <v>2.7615287042451864</v>
      </c>
      <c r="CA53" s="47"/>
      <c r="CB53" s="6"/>
    </row>
    <row r="54" spans="1:80" s="1" customFormat="1" ht="19.5" customHeight="1">
      <c r="A54" s="164" t="s">
        <v>97</v>
      </c>
      <c r="B54" s="133" t="s">
        <v>35</v>
      </c>
      <c r="C54" s="32" t="s">
        <v>42</v>
      </c>
      <c r="D54" s="22">
        <v>3913</v>
      </c>
      <c r="E54" s="22">
        <v>7041</v>
      </c>
      <c r="F54" s="22">
        <v>3011</v>
      </c>
      <c r="G54" s="22">
        <v>1527</v>
      </c>
      <c r="H54" s="22">
        <v>3600</v>
      </c>
      <c r="I54" s="22">
        <v>5728</v>
      </c>
      <c r="J54" s="22">
        <v>98733</v>
      </c>
      <c r="K54" s="22">
        <v>800</v>
      </c>
      <c r="L54" s="22">
        <v>714</v>
      </c>
      <c r="M54" s="43">
        <f t="shared" si="0"/>
        <v>-10.750000000000004</v>
      </c>
      <c r="N54" s="23">
        <f>Q54-K54</f>
        <v>48870</v>
      </c>
      <c r="O54" s="22">
        <f>R54-L54</f>
        <v>900</v>
      </c>
      <c r="P54" s="15">
        <f t="shared" si="1"/>
        <v>-98.158379373848987</v>
      </c>
      <c r="Q54" s="22">
        <v>49670</v>
      </c>
      <c r="R54" s="22">
        <v>1614</v>
      </c>
      <c r="S54" s="15">
        <f t="shared" si="2"/>
        <v>-96.750553654117184</v>
      </c>
      <c r="T54" s="23">
        <f>W54-Q54</f>
        <v>0</v>
      </c>
      <c r="U54" s="22">
        <f>X54-R54</f>
        <v>22</v>
      </c>
      <c r="V54" s="15" t="e">
        <f t="shared" ref="V54:V55" si="335">(U54/T54-1)*100</f>
        <v>#DIV/0!</v>
      </c>
      <c r="W54" s="22">
        <v>49670</v>
      </c>
      <c r="X54" s="22">
        <v>1636</v>
      </c>
      <c r="Y54" s="15">
        <f t="shared" ref="Y54:Y55" si="336">(X54/W54-1)*100</f>
        <v>-96.706261324743309</v>
      </c>
      <c r="Z54" s="23">
        <f>AC54-W54</f>
        <v>800</v>
      </c>
      <c r="AA54" s="22">
        <f>AD54-X54</f>
        <v>500</v>
      </c>
      <c r="AB54" s="15">
        <f t="shared" ref="AB54:AB55" si="337">(AA54/Z54-1)*100</f>
        <v>-37.5</v>
      </c>
      <c r="AC54" s="22">
        <v>50470</v>
      </c>
      <c r="AD54" s="22">
        <v>2136</v>
      </c>
      <c r="AE54" s="15">
        <f t="shared" ref="AE54:AE55" si="338">(AD54/AC54-1)*100</f>
        <v>-95.767782841291861</v>
      </c>
      <c r="AF54" s="23">
        <f>AI54-AC54</f>
        <v>709</v>
      </c>
      <c r="AG54" s="22">
        <f>AJ54-AD54</f>
        <v>0</v>
      </c>
      <c r="AH54" s="15">
        <f t="shared" ref="AH54:AH55" si="339">(AG54/AF54-1)*100</f>
        <v>-100</v>
      </c>
      <c r="AI54" s="22">
        <v>51179</v>
      </c>
      <c r="AJ54" s="22">
        <v>2136</v>
      </c>
      <c r="AK54" s="15">
        <f t="shared" ref="AK54:AK55" si="340">(AJ54/AI54-1)*100</f>
        <v>-95.826413177279747</v>
      </c>
      <c r="AL54" s="23">
        <f>AO54-AI54</f>
        <v>700</v>
      </c>
      <c r="AM54" s="22">
        <f>AP54-AJ54</f>
        <v>1</v>
      </c>
      <c r="AN54" s="15">
        <f t="shared" ref="AN54:AN55" si="341">(AM54/AL54-1)*100</f>
        <v>-99.857142857142861</v>
      </c>
      <c r="AO54" s="22">
        <v>51879</v>
      </c>
      <c r="AP54" s="22">
        <v>2137</v>
      </c>
      <c r="AQ54" s="15">
        <f t="shared" ref="AQ54:AQ55" si="342">(AP54/AO54-1)*100</f>
        <v>-95.880799552805556</v>
      </c>
      <c r="AR54" s="23">
        <f>AU54-AO54</f>
        <v>20</v>
      </c>
      <c r="AS54" s="22">
        <f>AV54-AP54</f>
        <v>700</v>
      </c>
      <c r="AT54" s="15">
        <f t="shared" ref="AT54:AT55" si="343">(AS54/AR54-1)*100</f>
        <v>3400</v>
      </c>
      <c r="AU54" s="22">
        <v>51899</v>
      </c>
      <c r="AV54" s="22">
        <v>2837</v>
      </c>
      <c r="AW54" s="15">
        <f t="shared" ref="AW54:AW55" si="344">(AV54/AU54-1)*100</f>
        <v>-94.533613364419352</v>
      </c>
      <c r="AX54" s="23">
        <f>BA54-AU54</f>
        <v>700</v>
      </c>
      <c r="AY54" s="22">
        <f>BB54-AV54</f>
        <v>700</v>
      </c>
      <c r="AZ54" s="15">
        <f t="shared" ref="AZ54:AZ55" si="345">(AY54/AX54-1)*100</f>
        <v>0</v>
      </c>
      <c r="BA54" s="22">
        <v>52599</v>
      </c>
      <c r="BB54" s="22">
        <v>3537</v>
      </c>
      <c r="BC54" s="15">
        <f t="shared" ref="BC54:BC55" si="346">(BB54/BA54-1)*100</f>
        <v>-93.275537557748251</v>
      </c>
      <c r="BD54" s="23">
        <f>BG54-BA54</f>
        <v>0</v>
      </c>
      <c r="BE54" s="22">
        <f>BH54-BB54</f>
        <v>500</v>
      </c>
      <c r="BF54" s="15" t="e">
        <f t="shared" ref="BF54:BF55" si="347">(BE54/BD54-1)*100</f>
        <v>#DIV/0!</v>
      </c>
      <c r="BG54" s="22">
        <v>52599</v>
      </c>
      <c r="BH54" s="22">
        <v>4037</v>
      </c>
      <c r="BI54" s="15">
        <f t="shared" ref="BI54:BI55" si="348">(BH54/BG54-1)*100</f>
        <v>-92.324949143519845</v>
      </c>
      <c r="BJ54" s="23">
        <f>BM54-BG54</f>
        <v>800</v>
      </c>
      <c r="BK54" s="22">
        <f>BN54-BH54</f>
        <v>1</v>
      </c>
      <c r="BL54" s="15">
        <f t="shared" ref="BL54:BL55" si="349">(BK54/BJ54-1)*100</f>
        <v>-99.875</v>
      </c>
      <c r="BM54" s="22">
        <v>53399</v>
      </c>
      <c r="BN54" s="22">
        <v>4038</v>
      </c>
      <c r="BO54" s="15">
        <f t="shared" ref="BO54:BO55" si="350">(BN54/BM54-1)*100</f>
        <v>-92.438060637839655</v>
      </c>
      <c r="BP54" s="23">
        <f>BS54-BM54</f>
        <v>0</v>
      </c>
      <c r="BQ54" s="22">
        <f>BT54-BN54</f>
        <v>601</v>
      </c>
      <c r="BR54" s="15" t="e">
        <f t="shared" ref="BR54:BR55" si="351">(BQ54/BP54-1)*100</f>
        <v>#DIV/0!</v>
      </c>
      <c r="BS54" s="22">
        <v>53399</v>
      </c>
      <c r="BT54" s="22">
        <v>4639</v>
      </c>
      <c r="BU54" s="15">
        <f t="shared" ref="BU54:BU55" si="352">(BT54/BS54-1)*100</f>
        <v>-91.312571396468101</v>
      </c>
      <c r="BV54" s="23">
        <f>BY54-BS54</f>
        <v>45334</v>
      </c>
      <c r="BW54" s="22">
        <f>BZ54-BT54</f>
        <v>602</v>
      </c>
      <c r="BX54" s="15">
        <f t="shared" ref="BX54:BX55" si="353">(BW54/BV54-1)*100</f>
        <v>-98.67207835178894</v>
      </c>
      <c r="BY54" s="22">
        <v>98733</v>
      </c>
      <c r="BZ54" s="22">
        <v>5241</v>
      </c>
      <c r="CA54" s="15">
        <f t="shared" ref="CA54:CA55" si="354">(BZ54/BY54-1)*100</f>
        <v>-94.691744401567874</v>
      </c>
      <c r="CB54" s="6"/>
    </row>
    <row r="55" spans="1:80" s="1" customFormat="1" ht="19.5" customHeight="1">
      <c r="A55" s="154"/>
      <c r="B55" s="167"/>
      <c r="C55" s="33" t="s">
        <v>104</v>
      </c>
      <c r="D55" s="17">
        <v>85986</v>
      </c>
      <c r="E55" s="17">
        <v>415108</v>
      </c>
      <c r="F55" s="17">
        <v>179611</v>
      </c>
      <c r="G55" s="17">
        <v>77136</v>
      </c>
      <c r="H55" s="17">
        <v>168025</v>
      </c>
      <c r="I55" s="17">
        <v>275388</v>
      </c>
      <c r="J55" s="17">
        <v>362593</v>
      </c>
      <c r="K55" s="17">
        <v>39563</v>
      </c>
      <c r="L55" s="17">
        <v>33952</v>
      </c>
      <c r="M55" s="44">
        <f t="shared" si="0"/>
        <v>-14.182443191871197</v>
      </c>
      <c r="N55" s="14">
        <f>Q55-K55</f>
        <v>26765</v>
      </c>
      <c r="O55" s="14">
        <f>R55-L55</f>
        <v>42184</v>
      </c>
      <c r="P55" s="18">
        <f t="shared" si="1"/>
        <v>57.608817485522138</v>
      </c>
      <c r="Q55" s="17">
        <v>66328</v>
      </c>
      <c r="R55" s="17">
        <v>76136</v>
      </c>
      <c r="S55" s="18">
        <f t="shared" si="2"/>
        <v>14.787118562296463</v>
      </c>
      <c r="T55" s="14">
        <f>W55-Q55</f>
        <v>0</v>
      </c>
      <c r="U55" s="14">
        <f>X55-R55</f>
        <v>518</v>
      </c>
      <c r="V55" s="18" t="e">
        <f t="shared" si="335"/>
        <v>#DIV/0!</v>
      </c>
      <c r="W55" s="17">
        <v>66328</v>
      </c>
      <c r="X55" s="17">
        <v>76654</v>
      </c>
      <c r="Y55" s="18">
        <f t="shared" si="336"/>
        <v>15.568085876251359</v>
      </c>
      <c r="Z55" s="14">
        <f>AC55-W55</f>
        <v>35798</v>
      </c>
      <c r="AA55" s="14">
        <f>AD55-X55</f>
        <v>23702</v>
      </c>
      <c r="AB55" s="18">
        <f t="shared" si="337"/>
        <v>-33.78959718420024</v>
      </c>
      <c r="AC55" s="17">
        <v>102126</v>
      </c>
      <c r="AD55" s="17">
        <v>100356</v>
      </c>
      <c r="AE55" s="18">
        <f t="shared" si="338"/>
        <v>-1.7331531637389097</v>
      </c>
      <c r="AF55" s="14">
        <f>AI55-AC55</f>
        <v>33555</v>
      </c>
      <c r="AG55" s="14">
        <f>AJ55-AD55</f>
        <v>0</v>
      </c>
      <c r="AH55" s="18">
        <f t="shared" si="339"/>
        <v>-100</v>
      </c>
      <c r="AI55" s="17">
        <v>135681</v>
      </c>
      <c r="AJ55" s="17">
        <v>100356</v>
      </c>
      <c r="AK55" s="18">
        <f t="shared" si="340"/>
        <v>-26.035332876379158</v>
      </c>
      <c r="AL55" s="14">
        <f>AO55-AI55</f>
        <v>33189</v>
      </c>
      <c r="AM55" s="14">
        <f>AP55-AJ55</f>
        <v>50</v>
      </c>
      <c r="AN55" s="18">
        <f t="shared" si="341"/>
        <v>-99.849347675434629</v>
      </c>
      <c r="AO55" s="17">
        <v>168870</v>
      </c>
      <c r="AP55" s="17">
        <v>100406</v>
      </c>
      <c r="AQ55" s="18">
        <f t="shared" si="342"/>
        <v>-40.542429087463731</v>
      </c>
      <c r="AR55" s="14">
        <f>AU55-AO55</f>
        <v>516</v>
      </c>
      <c r="AS55" s="14">
        <f>AV55-AP55</f>
        <v>32460</v>
      </c>
      <c r="AT55" s="18">
        <f t="shared" si="343"/>
        <v>6190.6976744186049</v>
      </c>
      <c r="AU55" s="17">
        <v>169386</v>
      </c>
      <c r="AV55" s="17">
        <v>132866</v>
      </c>
      <c r="AW55" s="18">
        <f t="shared" si="344"/>
        <v>-21.560223395085774</v>
      </c>
      <c r="AX55" s="14">
        <f>BA55-AU55</f>
        <v>32653</v>
      </c>
      <c r="AY55" s="14">
        <f>BB55-AV55</f>
        <v>32821</v>
      </c>
      <c r="AZ55" s="18">
        <f t="shared" si="345"/>
        <v>0.51450096468930173</v>
      </c>
      <c r="BA55" s="17">
        <v>202039</v>
      </c>
      <c r="BB55" s="17">
        <v>165687</v>
      </c>
      <c r="BC55" s="18">
        <f t="shared" si="346"/>
        <v>-17.99256579175308</v>
      </c>
      <c r="BD55" s="14">
        <f>BG55-BA55</f>
        <v>0</v>
      </c>
      <c r="BE55" s="14">
        <f>BH55-BB55</f>
        <v>23522</v>
      </c>
      <c r="BF55" s="18" t="e">
        <f t="shared" si="347"/>
        <v>#DIV/0!</v>
      </c>
      <c r="BG55" s="17">
        <v>202039</v>
      </c>
      <c r="BH55" s="17">
        <v>189209</v>
      </c>
      <c r="BI55" s="18">
        <f t="shared" si="348"/>
        <v>-6.3502591083899667</v>
      </c>
      <c r="BJ55" s="14">
        <f>BM55-BG55</f>
        <v>37941</v>
      </c>
      <c r="BK55" s="14">
        <f>BN55-BH55</f>
        <v>222</v>
      </c>
      <c r="BL55" s="18">
        <f t="shared" si="349"/>
        <v>-99.41488099944651</v>
      </c>
      <c r="BM55" s="17">
        <v>239980</v>
      </c>
      <c r="BN55" s="17">
        <v>189431</v>
      </c>
      <c r="BO55" s="18">
        <f t="shared" si="350"/>
        <v>-21.063838653221101</v>
      </c>
      <c r="BP55" s="14">
        <f>BS55-BM55</f>
        <v>24</v>
      </c>
      <c r="BQ55" s="14">
        <f>BT55-BN55</f>
        <v>27601</v>
      </c>
      <c r="BR55" s="18">
        <f t="shared" si="351"/>
        <v>114904.16666666667</v>
      </c>
      <c r="BS55" s="17">
        <v>240004</v>
      </c>
      <c r="BT55" s="17">
        <v>217032</v>
      </c>
      <c r="BU55" s="18">
        <f t="shared" si="352"/>
        <v>-9.5715071415476416</v>
      </c>
      <c r="BV55" s="14">
        <f>BY55-BS55</f>
        <v>122589</v>
      </c>
      <c r="BW55" s="14">
        <f>BZ55-BT55</f>
        <v>27093</v>
      </c>
      <c r="BX55" s="18">
        <f t="shared" si="353"/>
        <v>-77.899322125149894</v>
      </c>
      <c r="BY55" s="17">
        <v>362593</v>
      </c>
      <c r="BZ55" s="17">
        <v>244125</v>
      </c>
      <c r="CA55" s="18">
        <f t="shared" si="354"/>
        <v>-32.672445414004137</v>
      </c>
      <c r="CB55" s="6"/>
    </row>
    <row r="56" spans="1:80" s="1" customFormat="1" ht="19.5" customHeight="1" thickBot="1">
      <c r="A56" s="155"/>
      <c r="B56" s="168"/>
      <c r="C56" s="34" t="s">
        <v>105</v>
      </c>
      <c r="D56" s="19">
        <f t="shared" ref="D56:L56" si="355">D55/D54</f>
        <v>21.974444160490673</v>
      </c>
      <c r="E56" s="19">
        <f t="shared" si="355"/>
        <v>58.955830137764522</v>
      </c>
      <c r="F56" s="19">
        <f t="shared" si="355"/>
        <v>59.651610760544671</v>
      </c>
      <c r="G56" s="19">
        <f t="shared" si="355"/>
        <v>50.514734774066795</v>
      </c>
      <c r="H56" s="20">
        <f>H55/H54</f>
        <v>46.673611111111114</v>
      </c>
      <c r="I56" s="20">
        <f>I55/I54</f>
        <v>48.077513966480446</v>
      </c>
      <c r="J56" s="20">
        <f>J55/J54</f>
        <v>3.6724600690751825</v>
      </c>
      <c r="K56" s="20">
        <f t="shared" si="355"/>
        <v>49.453749999999999</v>
      </c>
      <c r="L56" s="20">
        <f t="shared" si="355"/>
        <v>47.551820728291318</v>
      </c>
      <c r="M56" s="46"/>
      <c r="N56" s="20">
        <f>N55/N54</f>
        <v>0.54767751176590951</v>
      </c>
      <c r="O56" s="20">
        <f>O55/O54</f>
        <v>46.871111111111112</v>
      </c>
      <c r="P56" s="47"/>
      <c r="Q56" s="20">
        <f>Q55/Q54</f>
        <v>1.3353734648681297</v>
      </c>
      <c r="R56" s="20">
        <f>R55/R54</f>
        <v>47.172242874845104</v>
      </c>
      <c r="S56" s="47"/>
      <c r="T56" s="20" t="e">
        <f>T55/T54</f>
        <v>#DIV/0!</v>
      </c>
      <c r="U56" s="20">
        <f>U55/U54</f>
        <v>23.545454545454547</v>
      </c>
      <c r="V56" s="47"/>
      <c r="W56" s="20">
        <f>W55/W54</f>
        <v>1.3353734648681297</v>
      </c>
      <c r="X56" s="20">
        <f>X55/X54</f>
        <v>46.854523227383865</v>
      </c>
      <c r="Y56" s="47"/>
      <c r="Z56" s="20">
        <f>Z55/Z54</f>
        <v>44.747500000000002</v>
      </c>
      <c r="AA56" s="20">
        <f>AA55/AA54</f>
        <v>47.404000000000003</v>
      </c>
      <c r="AB56" s="47"/>
      <c r="AC56" s="20">
        <f>AC55/AC54</f>
        <v>2.0234991083812166</v>
      </c>
      <c r="AD56" s="20">
        <f>AD55/AD54</f>
        <v>46.983146067415731</v>
      </c>
      <c r="AE56" s="47"/>
      <c r="AF56" s="20">
        <f>AF55/AF54</f>
        <v>47.327221438645978</v>
      </c>
      <c r="AG56" s="20" t="e">
        <f>AG55/AG54</f>
        <v>#DIV/0!</v>
      </c>
      <c r="AH56" s="47"/>
      <c r="AI56" s="20">
        <f>AI55/AI54</f>
        <v>2.651106899314172</v>
      </c>
      <c r="AJ56" s="20">
        <f>AJ55/AJ54</f>
        <v>46.983146067415731</v>
      </c>
      <c r="AK56" s="47"/>
      <c r="AL56" s="20">
        <f>AL55/AL54</f>
        <v>47.412857142857142</v>
      </c>
      <c r="AM56" s="20">
        <f>AM55/AM54</f>
        <v>50</v>
      </c>
      <c r="AN56" s="47"/>
      <c r="AO56" s="20">
        <f>AO55/AO54</f>
        <v>3.2550743075232753</v>
      </c>
      <c r="AP56" s="20">
        <f>AP55/AP54</f>
        <v>46.984557791296211</v>
      </c>
      <c r="AQ56" s="47"/>
      <c r="AR56" s="20">
        <f>AR55/AR54</f>
        <v>25.8</v>
      </c>
      <c r="AS56" s="20">
        <f>AS55/AS54</f>
        <v>46.371428571428574</v>
      </c>
      <c r="AT56" s="47"/>
      <c r="AU56" s="20">
        <f>AU55/AU54</f>
        <v>3.2637623075589124</v>
      </c>
      <c r="AV56" s="20">
        <f>AV55/AV54</f>
        <v>46.833274585830104</v>
      </c>
      <c r="AW56" s="47"/>
      <c r="AX56" s="20">
        <f>AX55/AX54</f>
        <v>46.64714285714286</v>
      </c>
      <c r="AY56" s="20">
        <f>AY55/AY54</f>
        <v>46.887142857142855</v>
      </c>
      <c r="AZ56" s="47"/>
      <c r="BA56" s="20">
        <f>BA55/BA54</f>
        <v>3.8411186524458638</v>
      </c>
      <c r="BB56" s="20">
        <f>BB55/BB54</f>
        <v>46.843935538592028</v>
      </c>
      <c r="BC56" s="47"/>
      <c r="BD56" s="20" t="e">
        <f>BD55/BD54</f>
        <v>#DIV/0!</v>
      </c>
      <c r="BE56" s="20">
        <f>BE55/BE54</f>
        <v>47.043999999999997</v>
      </c>
      <c r="BF56" s="47"/>
      <c r="BG56" s="20">
        <f>BG55/BG54</f>
        <v>3.8411186524458638</v>
      </c>
      <c r="BH56" s="20">
        <f>BH55/BH54</f>
        <v>46.868714391875152</v>
      </c>
      <c r="BI56" s="47"/>
      <c r="BJ56" s="20">
        <f>BJ55/BJ54</f>
        <v>47.426250000000003</v>
      </c>
      <c r="BK56" s="20">
        <f>BK55/BK54</f>
        <v>222</v>
      </c>
      <c r="BL56" s="47"/>
      <c r="BM56" s="20">
        <f>BM55/BM54</f>
        <v>4.4940916496563608</v>
      </c>
      <c r="BN56" s="20">
        <f>BN55/BN54</f>
        <v>46.912085190688458</v>
      </c>
      <c r="BO56" s="47"/>
      <c r="BP56" s="20" t="e">
        <f>BP55/BP54</f>
        <v>#DIV/0!</v>
      </c>
      <c r="BQ56" s="20">
        <f>BQ55/BQ54</f>
        <v>45.925124792013314</v>
      </c>
      <c r="BR56" s="47"/>
      <c r="BS56" s="20">
        <f>BS55/BS54</f>
        <v>4.4945410962752108</v>
      </c>
      <c r="BT56" s="20">
        <f>BT55/BT54</f>
        <v>46.784220737227848</v>
      </c>
      <c r="BU56" s="47"/>
      <c r="BV56" s="20">
        <f>BV55/BV54</f>
        <v>2.7041293510389552</v>
      </c>
      <c r="BW56" s="20">
        <f>BW55/BW54</f>
        <v>45.004983388704318</v>
      </c>
      <c r="BX56" s="47"/>
      <c r="BY56" s="20">
        <f>BY55/BY54</f>
        <v>3.6724600690751825</v>
      </c>
      <c r="BZ56" s="20">
        <f>BZ55/BZ54</f>
        <v>46.579851173440183</v>
      </c>
      <c r="CA56" s="47"/>
      <c r="CB56" s="6"/>
    </row>
    <row r="57" spans="1:80" s="1" customFormat="1" ht="19.5" customHeight="1">
      <c r="A57" s="151" t="s">
        <v>98</v>
      </c>
      <c r="B57" s="133" t="s">
        <v>36</v>
      </c>
      <c r="C57" s="32" t="s">
        <v>42</v>
      </c>
      <c r="D57" s="22">
        <v>1498114</v>
      </c>
      <c r="E57" s="22">
        <v>1797818</v>
      </c>
      <c r="F57" s="22">
        <v>2107954</v>
      </c>
      <c r="G57" s="22">
        <v>1786081</v>
      </c>
      <c r="H57" s="22">
        <v>1400550</v>
      </c>
      <c r="I57" s="22">
        <v>1669817</v>
      </c>
      <c r="J57" s="22">
        <v>1069966</v>
      </c>
      <c r="K57" s="22">
        <v>38225</v>
      </c>
      <c r="L57" s="22">
        <v>108450</v>
      </c>
      <c r="M57" s="43">
        <f t="shared" si="0"/>
        <v>183.71484630477437</v>
      </c>
      <c r="N57" s="23">
        <f>Q57-K57</f>
        <v>44100</v>
      </c>
      <c r="O57" s="22">
        <f>R57-L57</f>
        <v>63500</v>
      </c>
      <c r="P57" s="15">
        <f t="shared" si="1"/>
        <v>43.990929705215407</v>
      </c>
      <c r="Q57" s="22">
        <v>82325</v>
      </c>
      <c r="R57" s="22">
        <v>171950</v>
      </c>
      <c r="S57" s="15">
        <f t="shared" si="2"/>
        <v>108.86729426055268</v>
      </c>
      <c r="T57" s="23">
        <f>W57-Q57</f>
        <v>99000</v>
      </c>
      <c r="U57" s="22">
        <f>X57-R57</f>
        <v>125980</v>
      </c>
      <c r="V57" s="15">
        <f t="shared" ref="V57:V58" si="356">(U57/T57-1)*100</f>
        <v>27.25252525252526</v>
      </c>
      <c r="W57" s="22">
        <v>181325</v>
      </c>
      <c r="X57" s="22">
        <v>297930</v>
      </c>
      <c r="Y57" s="15">
        <f t="shared" ref="Y57:Y58" si="357">(X57/W57-1)*100</f>
        <v>64.307183234523649</v>
      </c>
      <c r="Z57" s="23">
        <f>AC57-W57</f>
        <v>136500</v>
      </c>
      <c r="AA57" s="22">
        <f>AD57-X57</f>
        <v>134802</v>
      </c>
      <c r="AB57" s="15">
        <f t="shared" ref="AB57:AB58" si="358">(AA57/Z57-1)*100</f>
        <v>-1.2439560439560404</v>
      </c>
      <c r="AC57" s="22">
        <v>317825</v>
      </c>
      <c r="AD57" s="22">
        <v>432732</v>
      </c>
      <c r="AE57" s="15">
        <f t="shared" ref="AE57:AE58" si="359">(AD57/AC57-1)*100</f>
        <v>36.154172893888138</v>
      </c>
      <c r="AF57" s="23">
        <f>AI57-AC57</f>
        <v>139000</v>
      </c>
      <c r="AG57" s="22">
        <f>AJ57-AD57</f>
        <v>83541</v>
      </c>
      <c r="AH57" s="15">
        <f t="shared" ref="AH57:AH58" si="360">(AG57/AF57-1)*100</f>
        <v>-39.898561151079136</v>
      </c>
      <c r="AI57" s="22">
        <v>456825</v>
      </c>
      <c r="AJ57" s="22">
        <v>516273</v>
      </c>
      <c r="AK57" s="15">
        <f t="shared" ref="AK57:AK58" si="361">(AJ57/AI57-1)*100</f>
        <v>13.01329830898046</v>
      </c>
      <c r="AL57" s="23">
        <f>AO57-AI57</f>
        <v>148608</v>
      </c>
      <c r="AM57" s="22">
        <f>AP57-AJ57</f>
        <v>150686</v>
      </c>
      <c r="AN57" s="15">
        <f t="shared" ref="AN57:AN58" si="362">(AM57/AL57-1)*100</f>
        <v>1.3983096468561662</v>
      </c>
      <c r="AO57" s="22">
        <v>605433</v>
      </c>
      <c r="AP57" s="22">
        <v>666959</v>
      </c>
      <c r="AQ57" s="15">
        <f t="shared" ref="AQ57:AQ58" si="363">(AP57/AO57-1)*100</f>
        <v>10.162313583831729</v>
      </c>
      <c r="AR57" s="23">
        <f>AU57-AO57</f>
        <v>193900</v>
      </c>
      <c r="AS57" s="22">
        <f>AV57-AP57</f>
        <v>137503</v>
      </c>
      <c r="AT57" s="15">
        <f t="shared" ref="AT57:AT58" si="364">(AS57/AR57-1)*100</f>
        <v>-29.085611139762769</v>
      </c>
      <c r="AU57" s="22">
        <v>799333</v>
      </c>
      <c r="AV57" s="22">
        <v>804462</v>
      </c>
      <c r="AW57" s="15">
        <f t="shared" ref="AW57:AW58" si="365">(AV57/AU57-1)*100</f>
        <v>0.64165998401166657</v>
      </c>
      <c r="AX57" s="23">
        <f>BA57-AU57</f>
        <v>50250</v>
      </c>
      <c r="AY57" s="22">
        <f>BB57-AV57</f>
        <v>50752</v>
      </c>
      <c r="AZ57" s="15">
        <f t="shared" ref="AZ57:AZ58" si="366">(AY57/AX57-1)*100</f>
        <v>0.99900497512437347</v>
      </c>
      <c r="BA57" s="22">
        <v>849583</v>
      </c>
      <c r="BB57" s="22">
        <v>855214</v>
      </c>
      <c r="BC57" s="15">
        <f t="shared" ref="BC57:BC58" si="367">(BB57/BA57-1)*100</f>
        <v>0.66279574803167485</v>
      </c>
      <c r="BD57" s="23">
        <f>BG57-BA57</f>
        <v>44000</v>
      </c>
      <c r="BE57" s="22">
        <f>BH57-BB57</f>
        <v>71001</v>
      </c>
      <c r="BF57" s="15">
        <f t="shared" ref="BF57:BF58" si="368">(BE57/BD57-1)*100</f>
        <v>61.365909090909085</v>
      </c>
      <c r="BG57" s="22">
        <v>893583</v>
      </c>
      <c r="BH57" s="22">
        <v>926215</v>
      </c>
      <c r="BI57" s="15">
        <f t="shared" ref="BI57:BI58" si="369">(BH57/BG57-1)*100</f>
        <v>3.6518152202985155</v>
      </c>
      <c r="BJ57" s="23">
        <f>BM57-BG57</f>
        <v>48029</v>
      </c>
      <c r="BK57" s="22">
        <f>BN57-BH57</f>
        <v>76802</v>
      </c>
      <c r="BL57" s="15">
        <f t="shared" ref="BL57:BL58" si="370">(BK57/BJ57-1)*100</f>
        <v>59.907555851672953</v>
      </c>
      <c r="BM57" s="22">
        <v>941612</v>
      </c>
      <c r="BN57" s="22">
        <v>1003017</v>
      </c>
      <c r="BO57" s="15">
        <f t="shared" ref="BO57:BO58" si="371">(BN57/BM57-1)*100</f>
        <v>6.5212635352990489</v>
      </c>
      <c r="BP57" s="23">
        <f>BS57-BM57</f>
        <v>33604</v>
      </c>
      <c r="BQ57" s="22">
        <f>BT57-BN57</f>
        <v>181451</v>
      </c>
      <c r="BR57" s="15">
        <f t="shared" ref="BR57:BR58" si="372">(BQ57/BP57-1)*100</f>
        <v>439.96845613617427</v>
      </c>
      <c r="BS57" s="22">
        <v>975216</v>
      </c>
      <c r="BT57" s="22">
        <v>1184468</v>
      </c>
      <c r="BU57" s="15">
        <f t="shared" ref="BU57:BU58" si="373">(BT57/BS57-1)*100</f>
        <v>21.456990041180624</v>
      </c>
      <c r="BV57" s="23">
        <f>BY57-BS57</f>
        <v>94750</v>
      </c>
      <c r="BW57" s="22">
        <f>BZ57-BT57</f>
        <v>203803</v>
      </c>
      <c r="BX57" s="15">
        <f t="shared" ref="BX57:BX58" si="374">(BW57/BV57-1)*100</f>
        <v>115.09551451187336</v>
      </c>
      <c r="BY57" s="22">
        <v>1069966</v>
      </c>
      <c r="BZ57" s="22">
        <v>1388271</v>
      </c>
      <c r="CA57" s="15">
        <f t="shared" ref="CA57:CA58" si="375">(BZ57/BY57-1)*100</f>
        <v>29.74907613886797</v>
      </c>
      <c r="CB57" s="6"/>
    </row>
    <row r="58" spans="1:80" s="1" customFormat="1" ht="19.5" customHeight="1">
      <c r="A58" s="154"/>
      <c r="B58" s="167"/>
      <c r="C58" s="33" t="s">
        <v>104</v>
      </c>
      <c r="D58" s="17">
        <v>6254716</v>
      </c>
      <c r="E58" s="17">
        <v>10033824</v>
      </c>
      <c r="F58" s="17">
        <v>14302928</v>
      </c>
      <c r="G58" s="17">
        <v>12630773</v>
      </c>
      <c r="H58" s="17">
        <v>9765214</v>
      </c>
      <c r="I58" s="17">
        <v>11152724</v>
      </c>
      <c r="J58" s="17">
        <v>6831877</v>
      </c>
      <c r="K58" s="17">
        <v>247105</v>
      </c>
      <c r="L58" s="17">
        <v>710232</v>
      </c>
      <c r="M58" s="44">
        <f t="shared" si="0"/>
        <v>187.42113676372392</v>
      </c>
      <c r="N58" s="14">
        <f>Q58-K58</f>
        <v>288665</v>
      </c>
      <c r="O58" s="14">
        <f>R58-L58</f>
        <v>353643</v>
      </c>
      <c r="P58" s="18">
        <f t="shared" si="1"/>
        <v>22.509829733428035</v>
      </c>
      <c r="Q58" s="17">
        <v>535770</v>
      </c>
      <c r="R58" s="17">
        <v>1063875</v>
      </c>
      <c r="S58" s="18">
        <f t="shared" si="2"/>
        <v>98.569348787726071</v>
      </c>
      <c r="T58" s="14">
        <f>W58-Q58</f>
        <v>609251</v>
      </c>
      <c r="U58" s="14">
        <f>X58-R58</f>
        <v>728818</v>
      </c>
      <c r="V58" s="18">
        <f t="shared" si="356"/>
        <v>19.625244767755824</v>
      </c>
      <c r="W58" s="17">
        <v>1145021</v>
      </c>
      <c r="X58" s="17">
        <v>1792693</v>
      </c>
      <c r="Y58" s="18">
        <f t="shared" si="357"/>
        <v>56.564202752613269</v>
      </c>
      <c r="Z58" s="14">
        <f>AC58-W58</f>
        <v>903924</v>
      </c>
      <c r="AA58" s="14">
        <f>AD58-X58</f>
        <v>794778</v>
      </c>
      <c r="AB58" s="18">
        <f t="shared" si="358"/>
        <v>-12.074687694983211</v>
      </c>
      <c r="AC58" s="17">
        <v>2048945</v>
      </c>
      <c r="AD58" s="17">
        <v>2587471</v>
      </c>
      <c r="AE58" s="18">
        <f t="shared" si="359"/>
        <v>26.283087149728267</v>
      </c>
      <c r="AF58" s="14">
        <f>AI58-AC58</f>
        <v>997111</v>
      </c>
      <c r="AG58" s="14">
        <f>AJ58-AD58</f>
        <v>490633</v>
      </c>
      <c r="AH58" s="18">
        <f t="shared" si="360"/>
        <v>-50.794545441781302</v>
      </c>
      <c r="AI58" s="17">
        <v>3046056</v>
      </c>
      <c r="AJ58" s="17">
        <v>3078104</v>
      </c>
      <c r="AK58" s="18">
        <f t="shared" si="361"/>
        <v>1.0521146032771655</v>
      </c>
      <c r="AL58" s="14">
        <f>AO58-AI58</f>
        <v>966071</v>
      </c>
      <c r="AM58" s="14">
        <f>AP58-AJ58</f>
        <v>985731</v>
      </c>
      <c r="AN58" s="18">
        <f t="shared" si="362"/>
        <v>2.0350471135144321</v>
      </c>
      <c r="AO58" s="17">
        <v>4012127</v>
      </c>
      <c r="AP58" s="17">
        <v>4063835</v>
      </c>
      <c r="AQ58" s="18">
        <f t="shared" si="363"/>
        <v>1.2887927027235069</v>
      </c>
      <c r="AR58" s="14">
        <f>AU58-AO58</f>
        <v>1240424</v>
      </c>
      <c r="AS58" s="14">
        <f>AV58-AP58</f>
        <v>867047</v>
      </c>
      <c r="AT58" s="18">
        <f t="shared" si="364"/>
        <v>-30.100755870573291</v>
      </c>
      <c r="AU58" s="17">
        <v>5252551</v>
      </c>
      <c r="AV58" s="17">
        <v>4930882</v>
      </c>
      <c r="AW58" s="18">
        <f t="shared" si="365"/>
        <v>-6.1240528649793236</v>
      </c>
      <c r="AX58" s="14">
        <f>BA58-AU58</f>
        <v>297258</v>
      </c>
      <c r="AY58" s="14">
        <f>BB58-AV58</f>
        <v>287477</v>
      </c>
      <c r="AZ58" s="18">
        <f t="shared" si="366"/>
        <v>-3.2904076593397003</v>
      </c>
      <c r="BA58" s="17">
        <v>5549809</v>
      </c>
      <c r="BB58" s="17">
        <v>5218359</v>
      </c>
      <c r="BC58" s="18">
        <f t="shared" si="367"/>
        <v>-5.9722776045085464</v>
      </c>
      <c r="BD58" s="14">
        <f>BG58-BA58</f>
        <v>319454</v>
      </c>
      <c r="BE58" s="14">
        <f>BH58-BB58</f>
        <v>402509</v>
      </c>
      <c r="BF58" s="18">
        <f t="shared" si="368"/>
        <v>25.999048376292055</v>
      </c>
      <c r="BG58" s="17">
        <v>5869263</v>
      </c>
      <c r="BH58" s="17">
        <v>5620868</v>
      </c>
      <c r="BI58" s="18">
        <f t="shared" si="369"/>
        <v>-4.2321327226263357</v>
      </c>
      <c r="BJ58" s="14">
        <f>BM58-BG58</f>
        <v>256653</v>
      </c>
      <c r="BK58" s="14">
        <f>BN58-BH58</f>
        <v>417723</v>
      </c>
      <c r="BL58" s="18">
        <f t="shared" si="370"/>
        <v>62.757887108274588</v>
      </c>
      <c r="BM58" s="17">
        <v>6125916</v>
      </c>
      <c r="BN58" s="17">
        <v>6038591</v>
      </c>
      <c r="BO58" s="18">
        <f t="shared" si="371"/>
        <v>-1.4255011005701035</v>
      </c>
      <c r="BP58" s="14">
        <f>BS58-BM58</f>
        <v>178119</v>
      </c>
      <c r="BQ58" s="14">
        <f>BT58-BN58</f>
        <v>1103706</v>
      </c>
      <c r="BR58" s="18">
        <f t="shared" si="372"/>
        <v>519.64529331514325</v>
      </c>
      <c r="BS58" s="17">
        <v>6304035</v>
      </c>
      <c r="BT58" s="17">
        <v>7142297</v>
      </c>
      <c r="BU58" s="18">
        <f t="shared" si="373"/>
        <v>13.297229472869354</v>
      </c>
      <c r="BV58" s="14">
        <f>BY58-BS58</f>
        <v>527842</v>
      </c>
      <c r="BW58" s="14">
        <f>BZ58-BT58</f>
        <v>1096949</v>
      </c>
      <c r="BX58" s="18">
        <f t="shared" si="374"/>
        <v>107.81768029069303</v>
      </c>
      <c r="BY58" s="17">
        <v>6831877</v>
      </c>
      <c r="BZ58" s="17">
        <v>8239246</v>
      </c>
      <c r="CA58" s="18">
        <f t="shared" si="375"/>
        <v>20.600034221927601</v>
      </c>
      <c r="CB58" s="6"/>
    </row>
    <row r="59" spans="1:80" s="1" customFormat="1" ht="19.5" customHeight="1" thickBot="1">
      <c r="A59" s="155"/>
      <c r="B59" s="168"/>
      <c r="C59" s="34" t="s">
        <v>105</v>
      </c>
      <c r="D59" s="19">
        <f t="shared" ref="D59:L59" si="376">D58/D57</f>
        <v>4.1750601089102695</v>
      </c>
      <c r="E59" s="19">
        <f t="shared" si="376"/>
        <v>5.5811122149183063</v>
      </c>
      <c r="F59" s="19">
        <f t="shared" si="376"/>
        <v>6.7852182732640278</v>
      </c>
      <c r="G59" s="19">
        <f t="shared" si="376"/>
        <v>7.0717806191320554</v>
      </c>
      <c r="H59" s="20">
        <f>H58/H57</f>
        <v>6.9724136946199708</v>
      </c>
      <c r="I59" s="20">
        <f>I58/I57</f>
        <v>6.6790097357973961</v>
      </c>
      <c r="J59" s="20">
        <f>J58/J57</f>
        <v>6.3851346678305667</v>
      </c>
      <c r="K59" s="20">
        <f t="shared" si="376"/>
        <v>6.4644865925441461</v>
      </c>
      <c r="L59" s="20">
        <f t="shared" si="376"/>
        <v>6.5489349930843703</v>
      </c>
      <c r="M59" s="46"/>
      <c r="N59" s="20">
        <f>N58/N57</f>
        <v>6.5456916099773244</v>
      </c>
      <c r="O59" s="20">
        <f>O58/O57</f>
        <v>5.5691811023622044</v>
      </c>
      <c r="P59" s="47"/>
      <c r="Q59" s="20">
        <f>Q58/Q57</f>
        <v>6.5079866383237173</v>
      </c>
      <c r="R59" s="20">
        <f>R58/R57</f>
        <v>6.1871183483570809</v>
      </c>
      <c r="S59" s="47"/>
      <c r="T59" s="20">
        <f>T58/T57</f>
        <v>6.1540505050505052</v>
      </c>
      <c r="U59" s="20">
        <f>U58/U57</f>
        <v>5.7851881250992223</v>
      </c>
      <c r="V59" s="47"/>
      <c r="W59" s="20">
        <f>W58/W57</f>
        <v>6.3147442437612025</v>
      </c>
      <c r="X59" s="20">
        <f>X58/X57</f>
        <v>6.0171617494042229</v>
      </c>
      <c r="Y59" s="47"/>
      <c r="Z59" s="20">
        <f>Z58/Z57</f>
        <v>6.6221538461538465</v>
      </c>
      <c r="AA59" s="20">
        <f>AA58/AA57</f>
        <v>5.8958917523478878</v>
      </c>
      <c r="AB59" s="47"/>
      <c r="AC59" s="20">
        <f>AC58/AC57</f>
        <v>6.4467710217887202</v>
      </c>
      <c r="AD59" s="20">
        <f>AD58/AD57</f>
        <v>5.9793844689091635</v>
      </c>
      <c r="AE59" s="47"/>
      <c r="AF59" s="20">
        <f>AF58/AF57</f>
        <v>7.173460431654676</v>
      </c>
      <c r="AG59" s="20">
        <f>AG58/AG57</f>
        <v>5.8729605822290853</v>
      </c>
      <c r="AH59" s="47"/>
      <c r="AI59" s="20">
        <f>AI58/AI57</f>
        <v>6.6678837629289118</v>
      </c>
      <c r="AJ59" s="20">
        <f>AJ58/AJ57</f>
        <v>5.9621634290385126</v>
      </c>
      <c r="AK59" s="47"/>
      <c r="AL59" s="20">
        <f>AL58/AL57</f>
        <v>6.5008007644272183</v>
      </c>
      <c r="AM59" s="20">
        <f>AM58/AM57</f>
        <v>6.5416229775825228</v>
      </c>
      <c r="AN59" s="47"/>
      <c r="AO59" s="20">
        <f>AO58/AO57</f>
        <v>6.626872007307167</v>
      </c>
      <c r="AP59" s="20">
        <f>AP58/AP57</f>
        <v>6.0930806841200136</v>
      </c>
      <c r="AQ59" s="47"/>
      <c r="AR59" s="20">
        <f>AR58/AR57</f>
        <v>6.3972356884992267</v>
      </c>
      <c r="AS59" s="20">
        <f>AS58/AS57</f>
        <v>6.3056587856264956</v>
      </c>
      <c r="AT59" s="47"/>
      <c r="AU59" s="20">
        <f>AU58/AU57</f>
        <v>6.5711674608705009</v>
      </c>
      <c r="AV59" s="20">
        <f>AV58/AV57</f>
        <v>6.1294156840223657</v>
      </c>
      <c r="AW59" s="47"/>
      <c r="AX59" s="20">
        <f>AX58/AX57</f>
        <v>5.9155820895522391</v>
      </c>
      <c r="AY59" s="20">
        <f>AY58/AY57</f>
        <v>5.6643482030264813</v>
      </c>
      <c r="AZ59" s="47"/>
      <c r="BA59" s="20">
        <f>BA58/BA57</f>
        <v>6.5323917733758794</v>
      </c>
      <c r="BB59" s="20">
        <f>BB58/BB57</f>
        <v>6.1018166213368819</v>
      </c>
      <c r="BC59" s="47"/>
      <c r="BD59" s="20">
        <f>BD58/BD57</f>
        <v>7.2603181818181817</v>
      </c>
      <c r="BE59" s="20">
        <f>BE58/BE57</f>
        <v>5.6690609991408571</v>
      </c>
      <c r="BF59" s="47"/>
      <c r="BG59" s="20">
        <f>BG58/BG57</f>
        <v>6.5682348477981343</v>
      </c>
      <c r="BH59" s="20">
        <f>BH58/BH57</f>
        <v>6.0686428097148069</v>
      </c>
      <c r="BI59" s="47"/>
      <c r="BJ59" s="20">
        <f>BJ58/BJ57</f>
        <v>5.3437090091403112</v>
      </c>
      <c r="BK59" s="20">
        <f>BK58/BK57</f>
        <v>5.4389599229186736</v>
      </c>
      <c r="BL59" s="47"/>
      <c r="BM59" s="20">
        <f>BM58/BM57</f>
        <v>6.5057752025250313</v>
      </c>
      <c r="BN59" s="20">
        <f>BN58/BN57</f>
        <v>6.0204273706228308</v>
      </c>
      <c r="BO59" s="47"/>
      <c r="BP59" s="20">
        <f>BP58/BP57</f>
        <v>5.3005296988453754</v>
      </c>
      <c r="BQ59" s="20">
        <f>BQ58/BQ57</f>
        <v>6.0826669458972393</v>
      </c>
      <c r="BR59" s="47"/>
      <c r="BS59" s="20">
        <f>BS58/BS57</f>
        <v>6.4642448442191265</v>
      </c>
      <c r="BT59" s="20">
        <f>BT58/BT57</f>
        <v>6.0299619744898134</v>
      </c>
      <c r="BU59" s="47"/>
      <c r="BV59" s="20">
        <f>BV58/BV57</f>
        <v>5.5708918205804752</v>
      </c>
      <c r="BW59" s="20">
        <f>BW58/BW57</f>
        <v>5.382398688929996</v>
      </c>
      <c r="BX59" s="47"/>
      <c r="BY59" s="20">
        <f>BY58/BY57</f>
        <v>6.3851346678305667</v>
      </c>
      <c r="BZ59" s="20">
        <f>BZ58/BZ57</f>
        <v>5.9348974371718493</v>
      </c>
      <c r="CA59" s="47"/>
      <c r="CB59" s="6"/>
    </row>
    <row r="60" spans="1:80" s="1" customFormat="1" ht="19.5" customHeight="1">
      <c r="A60" s="164" t="s">
        <v>99</v>
      </c>
      <c r="B60" s="133" t="s">
        <v>37</v>
      </c>
      <c r="C60" s="32" t="s">
        <v>42</v>
      </c>
      <c r="D60" s="22">
        <v>0</v>
      </c>
      <c r="E60" s="22">
        <v>3000</v>
      </c>
      <c r="F60" s="22">
        <v>4</v>
      </c>
      <c r="G60" s="22">
        <v>0</v>
      </c>
      <c r="H60" s="22">
        <v>32</v>
      </c>
      <c r="I60" s="22">
        <v>169</v>
      </c>
      <c r="J60" s="22">
        <v>466</v>
      </c>
      <c r="K60" s="22">
        <v>36</v>
      </c>
      <c r="L60" s="22">
        <v>0</v>
      </c>
      <c r="M60" s="43">
        <f t="shared" si="0"/>
        <v>-100</v>
      </c>
      <c r="N60" s="23">
        <f>Q60-K60</f>
        <v>36</v>
      </c>
      <c r="O60" s="22">
        <f>R60-L60</f>
        <v>48</v>
      </c>
      <c r="P60" s="15">
        <f t="shared" si="1"/>
        <v>33.333333333333329</v>
      </c>
      <c r="Q60" s="22">
        <v>72</v>
      </c>
      <c r="R60" s="22">
        <v>48</v>
      </c>
      <c r="S60" s="15">
        <f t="shared" si="2"/>
        <v>-33.333333333333336</v>
      </c>
      <c r="T60" s="23">
        <f>W60-Q60</f>
        <v>28</v>
      </c>
      <c r="U60" s="22">
        <f>X60-R60</f>
        <v>48</v>
      </c>
      <c r="V60" s="15">
        <f t="shared" ref="V60:V61" si="377">(U60/T60-1)*100</f>
        <v>71.428571428571416</v>
      </c>
      <c r="W60" s="22">
        <v>100</v>
      </c>
      <c r="X60" s="22">
        <v>96</v>
      </c>
      <c r="Y60" s="15">
        <f t="shared" ref="Y60:Y61" si="378">(X60/W60-1)*100</f>
        <v>-4.0000000000000036</v>
      </c>
      <c r="Z60" s="23">
        <f>AC60-W60</f>
        <v>28</v>
      </c>
      <c r="AA60" s="22">
        <f>AD60-X60</f>
        <v>54</v>
      </c>
      <c r="AB60" s="15">
        <f t="shared" ref="AB60:AB61" si="379">(AA60/Z60-1)*100</f>
        <v>92.857142857142861</v>
      </c>
      <c r="AC60" s="22">
        <v>128</v>
      </c>
      <c r="AD60" s="22">
        <v>150</v>
      </c>
      <c r="AE60" s="15">
        <f t="shared" ref="AE60:AE61" si="380">(AD60/AC60-1)*100</f>
        <v>17.1875</v>
      </c>
      <c r="AF60" s="23">
        <f>AI60-AC60</f>
        <v>28</v>
      </c>
      <c r="AG60" s="22">
        <f>AJ60-AD60</f>
        <v>796</v>
      </c>
      <c r="AH60" s="15">
        <f t="shared" ref="AH60:AH61" si="381">(AG60/AF60-1)*100</f>
        <v>2742.8571428571427</v>
      </c>
      <c r="AI60" s="22">
        <v>156</v>
      </c>
      <c r="AJ60" s="22">
        <v>946</v>
      </c>
      <c r="AK60" s="15">
        <f t="shared" ref="AK60:AK61" si="382">(AJ60/AI60-1)*100</f>
        <v>506.41025641025641</v>
      </c>
      <c r="AL60" s="23">
        <f>AO60-AI60</f>
        <v>0</v>
      </c>
      <c r="AM60" s="22">
        <f>AP60-AJ60</f>
        <v>0</v>
      </c>
      <c r="AN60" s="15" t="e">
        <f t="shared" ref="AN60:AN61" si="383">(AM60/AL60-1)*100</f>
        <v>#DIV/0!</v>
      </c>
      <c r="AO60" s="22">
        <v>156</v>
      </c>
      <c r="AP60" s="22">
        <v>946</v>
      </c>
      <c r="AQ60" s="15">
        <f t="shared" ref="AQ60:AQ61" si="384">(AP60/AO60-1)*100</f>
        <v>506.41025641025641</v>
      </c>
      <c r="AR60" s="23">
        <f>AU60-AO60</f>
        <v>96</v>
      </c>
      <c r="AS60" s="22">
        <f>AV60-AP60</f>
        <v>76</v>
      </c>
      <c r="AT60" s="15">
        <f t="shared" ref="AT60:AT61" si="385">(AS60/AR60-1)*100</f>
        <v>-20.833333333333336</v>
      </c>
      <c r="AU60" s="22">
        <v>252</v>
      </c>
      <c r="AV60" s="22">
        <v>1022</v>
      </c>
      <c r="AW60" s="15">
        <f t="shared" ref="AW60:AW61" si="386">(AV60/AU60-1)*100</f>
        <v>305.55555555555554</v>
      </c>
      <c r="AX60" s="23">
        <f>BA60-AU60</f>
        <v>48</v>
      </c>
      <c r="AY60" s="22">
        <f>BB60-AV60</f>
        <v>56</v>
      </c>
      <c r="AZ60" s="15">
        <f t="shared" ref="AZ60:AZ61" si="387">(AY60/AX60-1)*100</f>
        <v>16.666666666666675</v>
      </c>
      <c r="BA60" s="22">
        <v>300</v>
      </c>
      <c r="BB60" s="22">
        <v>1078</v>
      </c>
      <c r="BC60" s="15">
        <f t="shared" ref="BC60:BC61" si="388">(BB60/BA60-1)*100</f>
        <v>259.33333333333331</v>
      </c>
      <c r="BD60" s="23">
        <f>BG60-BA60</f>
        <v>0</v>
      </c>
      <c r="BE60" s="22">
        <f>BH60-BB60</f>
        <v>88</v>
      </c>
      <c r="BF60" s="15" t="e">
        <f t="shared" ref="BF60:BF61" si="389">(BE60/BD60-1)*100</f>
        <v>#DIV/0!</v>
      </c>
      <c r="BG60" s="22">
        <v>300</v>
      </c>
      <c r="BH60" s="22">
        <v>1166</v>
      </c>
      <c r="BI60" s="15">
        <f t="shared" ref="BI60:BI61" si="390">(BH60/BG60-1)*100</f>
        <v>288.66666666666669</v>
      </c>
      <c r="BJ60" s="23">
        <f>BM60-BG60</f>
        <v>58</v>
      </c>
      <c r="BK60" s="22">
        <f>BN60-BH60</f>
        <v>40</v>
      </c>
      <c r="BL60" s="15">
        <f t="shared" ref="BL60:BL61" si="391">(BK60/BJ60-1)*100</f>
        <v>-31.034482758620683</v>
      </c>
      <c r="BM60" s="22">
        <v>358</v>
      </c>
      <c r="BN60" s="22">
        <v>1206</v>
      </c>
      <c r="BO60" s="15">
        <f t="shared" ref="BO60:BO61" si="392">(BN60/BM60-1)*100</f>
        <v>236.8715083798883</v>
      </c>
      <c r="BP60" s="23">
        <f>BS60-BM60</f>
        <v>0</v>
      </c>
      <c r="BQ60" s="22">
        <f>BT60-BN60</f>
        <v>49</v>
      </c>
      <c r="BR60" s="15" t="e">
        <f t="shared" ref="BR60:BR61" si="393">(BQ60/BP60-1)*100</f>
        <v>#DIV/0!</v>
      </c>
      <c r="BS60" s="22">
        <v>358</v>
      </c>
      <c r="BT60" s="22">
        <v>1255</v>
      </c>
      <c r="BU60" s="15">
        <f t="shared" ref="BU60:BU61" si="394">(BT60/BS60-1)*100</f>
        <v>250.55865921787711</v>
      </c>
      <c r="BV60" s="23">
        <f>BY60-BS60</f>
        <v>108</v>
      </c>
      <c r="BW60" s="22">
        <f>BZ60-BT60</f>
        <v>82</v>
      </c>
      <c r="BX60" s="15">
        <f t="shared" ref="BX60:BX61" si="395">(BW60/BV60-1)*100</f>
        <v>-24.074074074074069</v>
      </c>
      <c r="BY60" s="22">
        <v>466</v>
      </c>
      <c r="BZ60" s="22">
        <v>1337</v>
      </c>
      <c r="CA60" s="15">
        <f t="shared" ref="CA60:CA61" si="396">(BZ60/BY60-1)*100</f>
        <v>186.90987124463518</v>
      </c>
      <c r="CB60" s="6"/>
    </row>
    <row r="61" spans="1:80" s="1" customFormat="1" ht="19.5" customHeight="1">
      <c r="A61" s="154"/>
      <c r="B61" s="167"/>
      <c r="C61" s="33" t="s">
        <v>104</v>
      </c>
      <c r="D61" s="17">
        <v>0</v>
      </c>
      <c r="E61" s="17">
        <v>8820</v>
      </c>
      <c r="F61" s="17">
        <v>7690</v>
      </c>
      <c r="G61" s="17">
        <v>0</v>
      </c>
      <c r="H61" s="17">
        <v>62790</v>
      </c>
      <c r="I61" s="17">
        <v>711996</v>
      </c>
      <c r="J61" s="17">
        <v>1880362</v>
      </c>
      <c r="K61" s="17">
        <v>135677</v>
      </c>
      <c r="L61" s="17">
        <v>0</v>
      </c>
      <c r="M61" s="44">
        <f t="shared" si="0"/>
        <v>-100</v>
      </c>
      <c r="N61" s="14">
        <f>Q61-K61</f>
        <v>135707</v>
      </c>
      <c r="O61" s="14">
        <f>R61-L61</f>
        <v>184090</v>
      </c>
      <c r="P61" s="18">
        <f t="shared" si="1"/>
        <v>35.652545557708891</v>
      </c>
      <c r="Q61" s="17">
        <v>271384</v>
      </c>
      <c r="R61" s="17">
        <v>184090</v>
      </c>
      <c r="S61" s="18">
        <f t="shared" si="2"/>
        <v>-32.166229401880727</v>
      </c>
      <c r="T61" s="14">
        <f>W61-Q61</f>
        <v>105537</v>
      </c>
      <c r="U61" s="14">
        <f>X61-R61</f>
        <v>184670</v>
      </c>
      <c r="V61" s="18">
        <f t="shared" si="377"/>
        <v>74.981286183992339</v>
      </c>
      <c r="W61" s="17">
        <v>376921</v>
      </c>
      <c r="X61" s="17">
        <v>368760</v>
      </c>
      <c r="Y61" s="18">
        <f t="shared" si="378"/>
        <v>-2.1651751958633225</v>
      </c>
      <c r="Z61" s="14">
        <f>AC61-W61</f>
        <v>105501</v>
      </c>
      <c r="AA61" s="14">
        <f>AD61-X61</f>
        <v>207171</v>
      </c>
      <c r="AB61" s="18">
        <f t="shared" si="379"/>
        <v>96.368754798532706</v>
      </c>
      <c r="AC61" s="17">
        <v>482422</v>
      </c>
      <c r="AD61" s="17">
        <v>575931</v>
      </c>
      <c r="AE61" s="18">
        <f t="shared" si="380"/>
        <v>19.383237082885941</v>
      </c>
      <c r="AF61" s="14">
        <f>AI61-AC61</f>
        <v>105501</v>
      </c>
      <c r="AG61" s="14">
        <f>AJ61-AD61</f>
        <v>988359</v>
      </c>
      <c r="AH61" s="18">
        <f t="shared" si="381"/>
        <v>836.824295504308</v>
      </c>
      <c r="AI61" s="17">
        <v>587923</v>
      </c>
      <c r="AJ61" s="17">
        <v>1564290</v>
      </c>
      <c r="AK61" s="18">
        <f t="shared" si="382"/>
        <v>166.07055685863625</v>
      </c>
      <c r="AL61" s="14">
        <f>AO61-AI61</f>
        <v>0</v>
      </c>
      <c r="AM61" s="14">
        <f>AP61-AJ61</f>
        <v>0</v>
      </c>
      <c r="AN61" s="18" t="e">
        <f t="shared" si="383"/>
        <v>#DIV/0!</v>
      </c>
      <c r="AO61" s="17">
        <v>587923</v>
      </c>
      <c r="AP61" s="17">
        <v>1564290</v>
      </c>
      <c r="AQ61" s="18">
        <f t="shared" si="384"/>
        <v>166.07055685863625</v>
      </c>
      <c r="AR61" s="14">
        <f>AU61-AO61</f>
        <v>358798</v>
      </c>
      <c r="AS61" s="14">
        <f>AV61-AP61</f>
        <v>215429</v>
      </c>
      <c r="AT61" s="18">
        <f t="shared" si="385"/>
        <v>-39.95813800522857</v>
      </c>
      <c r="AU61" s="17">
        <v>946721</v>
      </c>
      <c r="AV61" s="17">
        <v>1779719</v>
      </c>
      <c r="AW61" s="18">
        <f t="shared" si="386"/>
        <v>87.987696480800579</v>
      </c>
      <c r="AX61" s="14">
        <f>BA61-AU61</f>
        <v>177833</v>
      </c>
      <c r="AY61" s="14">
        <f>BB61-AV61</f>
        <v>214834</v>
      </c>
      <c r="AZ61" s="18">
        <f t="shared" si="387"/>
        <v>20.806599450045837</v>
      </c>
      <c r="BA61" s="17">
        <v>1124554</v>
      </c>
      <c r="BB61" s="17">
        <v>1994553</v>
      </c>
      <c r="BC61" s="18">
        <f t="shared" si="388"/>
        <v>77.36391493872236</v>
      </c>
      <c r="BD61" s="14">
        <f>BG61-BA61</f>
        <v>0</v>
      </c>
      <c r="BE61" s="14">
        <f>BH61-BB61</f>
        <v>337698</v>
      </c>
      <c r="BF61" s="18" t="e">
        <f t="shared" si="389"/>
        <v>#DIV/0!</v>
      </c>
      <c r="BG61" s="17">
        <v>1124554</v>
      </c>
      <c r="BH61" s="17">
        <v>2332251</v>
      </c>
      <c r="BI61" s="18">
        <f t="shared" si="390"/>
        <v>107.39341996916112</v>
      </c>
      <c r="BJ61" s="14">
        <f>BM61-BG61</f>
        <v>355661</v>
      </c>
      <c r="BK61" s="14">
        <f>BN61-BH61</f>
        <v>153389</v>
      </c>
      <c r="BL61" s="18">
        <f t="shared" si="391"/>
        <v>-56.872133857802801</v>
      </c>
      <c r="BM61" s="17">
        <v>1480215</v>
      </c>
      <c r="BN61" s="17">
        <v>2485640</v>
      </c>
      <c r="BO61" s="18">
        <f t="shared" si="392"/>
        <v>67.924254246849273</v>
      </c>
      <c r="BP61" s="14">
        <f>BS61-BM61</f>
        <v>0</v>
      </c>
      <c r="BQ61" s="14">
        <f>BT61-BN61</f>
        <v>184178</v>
      </c>
      <c r="BR61" s="18" t="e">
        <f t="shared" si="393"/>
        <v>#DIV/0!</v>
      </c>
      <c r="BS61" s="17">
        <v>1480215</v>
      </c>
      <c r="BT61" s="17">
        <v>2669818</v>
      </c>
      <c r="BU61" s="18">
        <f t="shared" si="394"/>
        <v>80.36690615890258</v>
      </c>
      <c r="BV61" s="14">
        <f>BY61-BS61</f>
        <v>400147</v>
      </c>
      <c r="BW61" s="14">
        <f>BZ61-BT61</f>
        <v>315305</v>
      </c>
      <c r="BX61" s="18">
        <f t="shared" si="395"/>
        <v>-21.202708004808237</v>
      </c>
      <c r="BY61" s="17">
        <v>1880362</v>
      </c>
      <c r="BZ61" s="17">
        <v>2985123</v>
      </c>
      <c r="CA61" s="18">
        <f t="shared" si="396"/>
        <v>58.752569983864802</v>
      </c>
      <c r="CB61" s="6"/>
    </row>
    <row r="62" spans="1:80" s="1" customFormat="1" ht="19.5" customHeight="1" thickBot="1">
      <c r="A62" s="155"/>
      <c r="B62" s="168"/>
      <c r="C62" s="34" t="s">
        <v>105</v>
      </c>
      <c r="D62" s="19" t="e">
        <f t="shared" ref="D62:L62" si="397">D61/D60</f>
        <v>#DIV/0!</v>
      </c>
      <c r="E62" s="19">
        <f t="shared" si="397"/>
        <v>2.94</v>
      </c>
      <c r="F62" s="19">
        <f t="shared" si="397"/>
        <v>1922.5</v>
      </c>
      <c r="G62" s="19" t="e">
        <f t="shared" si="397"/>
        <v>#DIV/0!</v>
      </c>
      <c r="H62" s="20">
        <f>H61/H60</f>
        <v>1962.1875</v>
      </c>
      <c r="I62" s="20">
        <f>I61/I60</f>
        <v>4212.9940828402368</v>
      </c>
      <c r="J62" s="20">
        <f>J61/J60</f>
        <v>4035.1115879828326</v>
      </c>
      <c r="K62" s="20">
        <f t="shared" si="397"/>
        <v>3768.8055555555557</v>
      </c>
      <c r="L62" s="20" t="e">
        <f t="shared" si="397"/>
        <v>#DIV/0!</v>
      </c>
      <c r="M62" s="46"/>
      <c r="N62" s="20">
        <f>N61/N60</f>
        <v>3769.6388888888887</v>
      </c>
      <c r="O62" s="20">
        <f>O61/O60</f>
        <v>3835.2083333333335</v>
      </c>
      <c r="P62" s="47"/>
      <c r="Q62" s="20">
        <f>Q61/Q60</f>
        <v>3769.2222222222222</v>
      </c>
      <c r="R62" s="20">
        <f>R61/R60</f>
        <v>3835.2083333333335</v>
      </c>
      <c r="S62" s="47"/>
      <c r="T62" s="20">
        <f>T61/T60</f>
        <v>3769.1785714285716</v>
      </c>
      <c r="U62" s="20">
        <f>U61/U60</f>
        <v>3847.2916666666665</v>
      </c>
      <c r="V62" s="47"/>
      <c r="W62" s="20">
        <f>W61/W60</f>
        <v>3769.21</v>
      </c>
      <c r="X62" s="20">
        <f>X61/X60</f>
        <v>3841.25</v>
      </c>
      <c r="Y62" s="47"/>
      <c r="Z62" s="20">
        <f>Z61/Z60</f>
        <v>3767.8928571428573</v>
      </c>
      <c r="AA62" s="20">
        <f>AA61/AA60</f>
        <v>3836.5</v>
      </c>
      <c r="AB62" s="47"/>
      <c r="AC62" s="20">
        <f>AC61/AC60</f>
        <v>3768.921875</v>
      </c>
      <c r="AD62" s="20">
        <f>AD61/AD60</f>
        <v>3839.54</v>
      </c>
      <c r="AE62" s="47"/>
      <c r="AF62" s="20">
        <f>AF61/AF60</f>
        <v>3767.8928571428573</v>
      </c>
      <c r="AG62" s="20">
        <f>AG61/AG60</f>
        <v>1241.6570351758794</v>
      </c>
      <c r="AH62" s="47"/>
      <c r="AI62" s="20">
        <f>AI61/AI60</f>
        <v>3768.7371794871797</v>
      </c>
      <c r="AJ62" s="20">
        <f>AJ61/AJ60</f>
        <v>1653.583509513742</v>
      </c>
      <c r="AK62" s="47"/>
      <c r="AL62" s="20" t="e">
        <f>AL61/AL60</f>
        <v>#DIV/0!</v>
      </c>
      <c r="AM62" s="20" t="e">
        <f>AM61/AM60</f>
        <v>#DIV/0!</v>
      </c>
      <c r="AN62" s="47"/>
      <c r="AO62" s="20">
        <f>AO61/AO60</f>
        <v>3768.7371794871797</v>
      </c>
      <c r="AP62" s="20">
        <f>AP61/AP60</f>
        <v>1653.583509513742</v>
      </c>
      <c r="AQ62" s="47"/>
      <c r="AR62" s="20">
        <f>AR61/AR60</f>
        <v>3737.4791666666665</v>
      </c>
      <c r="AS62" s="20">
        <f>AS61/AS60</f>
        <v>2834.5921052631579</v>
      </c>
      <c r="AT62" s="47"/>
      <c r="AU62" s="20">
        <f>AU61/AU60</f>
        <v>3756.8293650793653</v>
      </c>
      <c r="AV62" s="20">
        <f>AV61/AV60</f>
        <v>1741.4080234833659</v>
      </c>
      <c r="AW62" s="47"/>
      <c r="AX62" s="20">
        <f>AX61/AX60</f>
        <v>3704.8541666666665</v>
      </c>
      <c r="AY62" s="20">
        <f>AY61/AY60</f>
        <v>3836.3214285714284</v>
      </c>
      <c r="AZ62" s="47"/>
      <c r="BA62" s="20">
        <f>BA61/BA60</f>
        <v>3748.5133333333333</v>
      </c>
      <c r="BB62" s="20">
        <f>BB61/BB60</f>
        <v>1850.2346938775511</v>
      </c>
      <c r="BC62" s="47"/>
      <c r="BD62" s="20" t="e">
        <f>BD61/BD60</f>
        <v>#DIV/0!</v>
      </c>
      <c r="BE62" s="20">
        <f>BE61/BE60</f>
        <v>3837.4772727272725</v>
      </c>
      <c r="BF62" s="47"/>
      <c r="BG62" s="20">
        <f>BG61/BG60</f>
        <v>3748.5133333333333</v>
      </c>
      <c r="BH62" s="20">
        <f>BH61/BH60</f>
        <v>2000.2152658662092</v>
      </c>
      <c r="BI62" s="47"/>
      <c r="BJ62" s="20">
        <f>BJ61/BJ60</f>
        <v>6132.0862068965516</v>
      </c>
      <c r="BK62" s="20">
        <f>BK61/BK60</f>
        <v>3834.7249999999999</v>
      </c>
      <c r="BL62" s="47"/>
      <c r="BM62" s="20">
        <f>BM61/BM60</f>
        <v>4134.6787709497203</v>
      </c>
      <c r="BN62" s="20">
        <f>BN61/BN60</f>
        <v>2061.0613598673299</v>
      </c>
      <c r="BO62" s="47"/>
      <c r="BP62" s="20" t="e">
        <f>BP61/BP60</f>
        <v>#DIV/0!</v>
      </c>
      <c r="BQ62" s="20">
        <f>BQ61/BQ60</f>
        <v>3758.7346938775509</v>
      </c>
      <c r="BR62" s="47"/>
      <c r="BS62" s="20">
        <f>BS61/BS60</f>
        <v>4134.6787709497203</v>
      </c>
      <c r="BT62" s="20">
        <f>BT61/BT60</f>
        <v>2127.3450199203189</v>
      </c>
      <c r="BU62" s="47"/>
      <c r="BV62" s="20">
        <f>BV61/BV60</f>
        <v>3705.0648148148148</v>
      </c>
      <c r="BW62" s="20">
        <f>BW61/BW60</f>
        <v>3845.1829268292681</v>
      </c>
      <c r="BX62" s="47"/>
      <c r="BY62" s="20">
        <f>BY61/BY60</f>
        <v>4035.1115879828326</v>
      </c>
      <c r="BZ62" s="20">
        <f>BZ61/BZ60</f>
        <v>2232.7023186237848</v>
      </c>
      <c r="CA62" s="47"/>
      <c r="CB62" s="6"/>
    </row>
    <row r="63" spans="1:80" s="1" customFormat="1" ht="19.5" customHeight="1">
      <c r="A63" s="151" t="s">
        <v>100</v>
      </c>
      <c r="B63" s="133" t="s">
        <v>76</v>
      </c>
      <c r="C63" s="32" t="s">
        <v>42</v>
      </c>
      <c r="D63" s="22">
        <v>40000</v>
      </c>
      <c r="E63" s="22">
        <v>100</v>
      </c>
      <c r="F63" s="22">
        <v>100586</v>
      </c>
      <c r="G63" s="22">
        <v>10080</v>
      </c>
      <c r="H63" s="22">
        <v>160552</v>
      </c>
      <c r="I63" s="22">
        <v>30392</v>
      </c>
      <c r="J63" s="22">
        <v>76576</v>
      </c>
      <c r="K63" s="22">
        <v>0</v>
      </c>
      <c r="L63" s="22">
        <v>36288</v>
      </c>
      <c r="M63" s="43" t="e">
        <f t="shared" si="0"/>
        <v>#DIV/0!</v>
      </c>
      <c r="N63" s="23">
        <f>Q63-K63</f>
        <v>0</v>
      </c>
      <c r="O63" s="22">
        <f>R63-L63</f>
        <v>36288</v>
      </c>
      <c r="P63" s="15" t="e">
        <f t="shared" si="1"/>
        <v>#DIV/0!</v>
      </c>
      <c r="Q63" s="22">
        <v>0</v>
      </c>
      <c r="R63" s="22">
        <v>72576</v>
      </c>
      <c r="S63" s="15" t="e">
        <f t="shared" si="2"/>
        <v>#DIV/0!</v>
      </c>
      <c r="T63" s="23">
        <f>W63-Q63</f>
        <v>0</v>
      </c>
      <c r="U63" s="22">
        <f>X63-R63</f>
        <v>1</v>
      </c>
      <c r="V63" s="15" t="e">
        <f t="shared" ref="V63:V64" si="398">(U63/T63-1)*100</f>
        <v>#DIV/0!</v>
      </c>
      <c r="W63" s="22">
        <v>0</v>
      </c>
      <c r="X63" s="22">
        <v>72577</v>
      </c>
      <c r="Y63" s="15" t="e">
        <f t="shared" ref="Y63:Y64" si="399">(X63/W63-1)*100</f>
        <v>#DIV/0!</v>
      </c>
      <c r="Z63" s="23">
        <f>AC63-W63</f>
        <v>0</v>
      </c>
      <c r="AA63" s="22">
        <f>AD63-X63</f>
        <v>40824</v>
      </c>
      <c r="AB63" s="15" t="e">
        <f t="shared" ref="AB63:AB64" si="400">(AA63/Z63-1)*100</f>
        <v>#DIV/0!</v>
      </c>
      <c r="AC63" s="22">
        <v>0</v>
      </c>
      <c r="AD63" s="22">
        <v>113401</v>
      </c>
      <c r="AE63" s="15" t="e">
        <f t="shared" ref="AE63:AE64" si="401">(AD63/AC63-1)*100</f>
        <v>#DIV/0!</v>
      </c>
      <c r="AF63" s="23">
        <f>AI63-AC63</f>
        <v>0</v>
      </c>
      <c r="AG63" s="22">
        <f>AJ63-AD63</f>
        <v>40825</v>
      </c>
      <c r="AH63" s="15" t="e">
        <f t="shared" ref="AH63:AH64" si="402">(AG63/AF63-1)*100</f>
        <v>#DIV/0!</v>
      </c>
      <c r="AI63" s="22">
        <v>0</v>
      </c>
      <c r="AJ63" s="22">
        <v>154226</v>
      </c>
      <c r="AK63" s="15" t="e">
        <f t="shared" ref="AK63:AK64" si="403">(AJ63/AI63-1)*100</f>
        <v>#DIV/0!</v>
      </c>
      <c r="AL63" s="23">
        <f>AO63-AI63</f>
        <v>0</v>
      </c>
      <c r="AM63" s="22">
        <f>AP63-AJ63</f>
        <v>40824</v>
      </c>
      <c r="AN63" s="15" t="e">
        <f t="shared" ref="AN63:AN64" si="404">(AM63/AL63-1)*100</f>
        <v>#DIV/0!</v>
      </c>
      <c r="AO63" s="22">
        <v>0</v>
      </c>
      <c r="AP63" s="22">
        <v>195050</v>
      </c>
      <c r="AQ63" s="15" t="e">
        <f t="shared" ref="AQ63:AQ64" si="405">(AP63/AO63-1)*100</f>
        <v>#DIV/0!</v>
      </c>
      <c r="AR63" s="23">
        <f>AU63-AO63</f>
        <v>0</v>
      </c>
      <c r="AS63" s="22">
        <f>AV63-AP63</f>
        <v>40824</v>
      </c>
      <c r="AT63" s="15" t="e">
        <f t="shared" ref="AT63:AT64" si="406">(AS63/AR63-1)*100</f>
        <v>#DIV/0!</v>
      </c>
      <c r="AU63" s="22">
        <v>0</v>
      </c>
      <c r="AV63" s="22">
        <v>235874</v>
      </c>
      <c r="AW63" s="15" t="e">
        <f t="shared" ref="AW63:AW64" si="407">(AV63/AU63-1)*100</f>
        <v>#DIV/0!</v>
      </c>
      <c r="AX63" s="23">
        <f>BA63-AU63</f>
        <v>1000</v>
      </c>
      <c r="AY63" s="22">
        <f>BB63-AV63</f>
        <v>27218</v>
      </c>
      <c r="AZ63" s="15">
        <f t="shared" ref="AZ63:AZ64" si="408">(AY63/AX63-1)*100</f>
        <v>2621.8</v>
      </c>
      <c r="BA63" s="22">
        <v>1000</v>
      </c>
      <c r="BB63" s="22">
        <v>263092</v>
      </c>
      <c r="BC63" s="15">
        <f t="shared" ref="BC63:BC64" si="409">(BB63/BA63-1)*100</f>
        <v>26209.199999999997</v>
      </c>
      <c r="BD63" s="23">
        <f>BG63-BA63</f>
        <v>0</v>
      </c>
      <c r="BE63" s="22">
        <f>BH63-BB63</f>
        <v>27432</v>
      </c>
      <c r="BF63" s="15" t="e">
        <f t="shared" ref="BF63:BF64" si="410">(BE63/BD63-1)*100</f>
        <v>#DIV/0!</v>
      </c>
      <c r="BG63" s="22">
        <v>1000</v>
      </c>
      <c r="BH63" s="22">
        <v>290524</v>
      </c>
      <c r="BI63" s="15">
        <f t="shared" ref="BI63:BI64" si="411">(BH63/BG63-1)*100</f>
        <v>28952.400000000001</v>
      </c>
      <c r="BJ63" s="23">
        <f>BM63-BG63</f>
        <v>3000</v>
      </c>
      <c r="BK63" s="22">
        <f>BN63-BH63</f>
        <v>40824</v>
      </c>
      <c r="BL63" s="15">
        <f t="shared" ref="BL63:BL64" si="412">(BK63/BJ63-1)*100</f>
        <v>1260.8</v>
      </c>
      <c r="BM63" s="22">
        <v>4000</v>
      </c>
      <c r="BN63" s="22">
        <v>331348</v>
      </c>
      <c r="BO63" s="15">
        <f t="shared" ref="BO63:BO64" si="413">(BN63/BM63-1)*100</f>
        <v>8183.7000000000007</v>
      </c>
      <c r="BP63" s="23">
        <f>BS63-BM63</f>
        <v>0</v>
      </c>
      <c r="BQ63" s="22">
        <f>BT63-BN63</f>
        <v>27217</v>
      </c>
      <c r="BR63" s="15" t="e">
        <f t="shared" ref="BR63:BR64" si="414">(BQ63/BP63-1)*100</f>
        <v>#DIV/0!</v>
      </c>
      <c r="BS63" s="22">
        <v>4000</v>
      </c>
      <c r="BT63" s="22">
        <v>358565</v>
      </c>
      <c r="BU63" s="15">
        <f t="shared" ref="BU63:BU64" si="415">(BT63/BS63-1)*100</f>
        <v>8864.125</v>
      </c>
      <c r="BV63" s="23">
        <f>BY63-BS63</f>
        <v>72576</v>
      </c>
      <c r="BW63" s="22">
        <f>BZ63-BT63</f>
        <v>27216</v>
      </c>
      <c r="BX63" s="15">
        <f t="shared" ref="BX63:BX64" si="416">(BW63/BV63-1)*100</f>
        <v>-62.5</v>
      </c>
      <c r="BY63" s="22">
        <v>76576</v>
      </c>
      <c r="BZ63" s="22">
        <v>385781</v>
      </c>
      <c r="CA63" s="15">
        <f t="shared" ref="CA63:CA64" si="417">(BZ63/BY63-1)*100</f>
        <v>403.78839323025488</v>
      </c>
      <c r="CB63" s="6"/>
    </row>
    <row r="64" spans="1:80" s="1" customFormat="1" ht="19.5" customHeight="1">
      <c r="A64" s="165"/>
      <c r="B64" s="167"/>
      <c r="C64" s="33" t="s">
        <v>104</v>
      </c>
      <c r="D64" s="17">
        <v>428977</v>
      </c>
      <c r="E64" s="17">
        <v>1336</v>
      </c>
      <c r="F64" s="17">
        <v>2130100</v>
      </c>
      <c r="G64" s="17">
        <v>155030</v>
      </c>
      <c r="H64" s="17">
        <v>2197985</v>
      </c>
      <c r="I64" s="17">
        <v>501126</v>
      </c>
      <c r="J64" s="17">
        <v>592759</v>
      </c>
      <c r="K64" s="17">
        <v>0</v>
      </c>
      <c r="L64" s="17">
        <v>298056</v>
      </c>
      <c r="M64" s="44" t="e">
        <f t="shared" si="0"/>
        <v>#DIV/0!</v>
      </c>
      <c r="N64" s="14">
        <f>Q64-K64</f>
        <v>0</v>
      </c>
      <c r="O64" s="14">
        <f>R64-L64</f>
        <v>307015</v>
      </c>
      <c r="P64" s="18" t="e">
        <f t="shared" si="1"/>
        <v>#DIV/0!</v>
      </c>
      <c r="Q64" s="17">
        <v>0</v>
      </c>
      <c r="R64" s="17">
        <v>605071</v>
      </c>
      <c r="S64" s="18" t="e">
        <f t="shared" si="2"/>
        <v>#DIV/0!</v>
      </c>
      <c r="T64" s="14">
        <f>W64-Q64</f>
        <v>0</v>
      </c>
      <c r="U64" s="14">
        <f>X64-R64</f>
        <v>328</v>
      </c>
      <c r="V64" s="18" t="e">
        <f t="shared" si="398"/>
        <v>#DIV/0!</v>
      </c>
      <c r="W64" s="17">
        <v>0</v>
      </c>
      <c r="X64" s="17">
        <v>605399</v>
      </c>
      <c r="Y64" s="18" t="e">
        <f t="shared" si="399"/>
        <v>#DIV/0!</v>
      </c>
      <c r="Z64" s="14">
        <f>AC64-W64</f>
        <v>0</v>
      </c>
      <c r="AA64" s="14">
        <f>AD64-X64</f>
        <v>351519</v>
      </c>
      <c r="AB64" s="18" t="e">
        <f t="shared" si="400"/>
        <v>#DIV/0!</v>
      </c>
      <c r="AC64" s="17">
        <v>0</v>
      </c>
      <c r="AD64" s="17">
        <v>956918</v>
      </c>
      <c r="AE64" s="18" t="e">
        <f t="shared" si="401"/>
        <v>#DIV/0!</v>
      </c>
      <c r="AF64" s="14">
        <f>AI64-AC64</f>
        <v>0</v>
      </c>
      <c r="AG64" s="14">
        <f>AJ64-AD64</f>
        <v>365787</v>
      </c>
      <c r="AH64" s="18" t="e">
        <f t="shared" si="402"/>
        <v>#DIV/0!</v>
      </c>
      <c r="AI64" s="17">
        <v>0</v>
      </c>
      <c r="AJ64" s="17">
        <v>1322705</v>
      </c>
      <c r="AK64" s="18" t="e">
        <f t="shared" si="403"/>
        <v>#DIV/0!</v>
      </c>
      <c r="AL64" s="14">
        <f>AO64-AI64</f>
        <v>0</v>
      </c>
      <c r="AM64" s="14">
        <f>AP64-AJ64</f>
        <v>478877</v>
      </c>
      <c r="AN64" s="18" t="e">
        <f t="shared" si="404"/>
        <v>#DIV/0!</v>
      </c>
      <c r="AO64" s="17">
        <v>0</v>
      </c>
      <c r="AP64" s="17">
        <v>1801582</v>
      </c>
      <c r="AQ64" s="18" t="e">
        <f t="shared" si="405"/>
        <v>#DIV/0!</v>
      </c>
      <c r="AR64" s="14">
        <f>AU64-AO64</f>
        <v>0</v>
      </c>
      <c r="AS64" s="14">
        <f>AV64-AP64</f>
        <v>506219</v>
      </c>
      <c r="AT64" s="18" t="e">
        <f t="shared" si="406"/>
        <v>#DIV/0!</v>
      </c>
      <c r="AU64" s="17">
        <v>0</v>
      </c>
      <c r="AV64" s="17">
        <v>2307801</v>
      </c>
      <c r="AW64" s="18" t="e">
        <f t="shared" si="407"/>
        <v>#DIV/0!</v>
      </c>
      <c r="AX64" s="14">
        <f>BA64-AU64</f>
        <v>8414</v>
      </c>
      <c r="AY64" s="14">
        <f>BB64-AV64</f>
        <v>310534</v>
      </c>
      <c r="AZ64" s="18">
        <f t="shared" si="408"/>
        <v>3590.6821963394341</v>
      </c>
      <c r="BA64" s="17">
        <v>8414</v>
      </c>
      <c r="BB64" s="17">
        <v>2618335</v>
      </c>
      <c r="BC64" s="18">
        <f t="shared" si="409"/>
        <v>31018.790111718561</v>
      </c>
      <c r="BD64" s="14">
        <f>BG64-BA64</f>
        <v>0</v>
      </c>
      <c r="BE64" s="14">
        <f>BH64-BB64</f>
        <v>318964</v>
      </c>
      <c r="BF64" s="18" t="e">
        <f t="shared" si="410"/>
        <v>#DIV/0!</v>
      </c>
      <c r="BG64" s="17">
        <v>8414</v>
      </c>
      <c r="BH64" s="17">
        <v>2937299</v>
      </c>
      <c r="BI64" s="18">
        <f t="shared" si="411"/>
        <v>34809.662467316375</v>
      </c>
      <c r="BJ64" s="14">
        <f>BM64-BG64</f>
        <v>28712</v>
      </c>
      <c r="BK64" s="14">
        <f>BN64-BH64</f>
        <v>453293</v>
      </c>
      <c r="BL64" s="18">
        <f t="shared" si="412"/>
        <v>1478.7580105879074</v>
      </c>
      <c r="BM64" s="17">
        <v>37126</v>
      </c>
      <c r="BN64" s="17">
        <v>3390592</v>
      </c>
      <c r="BO64" s="18">
        <f t="shared" si="413"/>
        <v>9032.6617464849442</v>
      </c>
      <c r="BP64" s="14">
        <f>BS64-BM64</f>
        <v>0</v>
      </c>
      <c r="BQ64" s="14">
        <f>BT64-BN64</f>
        <v>291310</v>
      </c>
      <c r="BR64" s="18" t="e">
        <f t="shared" si="414"/>
        <v>#DIV/0!</v>
      </c>
      <c r="BS64" s="17">
        <v>37126</v>
      </c>
      <c r="BT64" s="17">
        <v>3681902</v>
      </c>
      <c r="BU64" s="18">
        <f t="shared" si="415"/>
        <v>9817.3140117437906</v>
      </c>
      <c r="BV64" s="14">
        <f>BY64-BS64</f>
        <v>555633</v>
      </c>
      <c r="BW64" s="14">
        <f>BZ64-BT64</f>
        <v>289210</v>
      </c>
      <c r="BX64" s="18">
        <f t="shared" si="416"/>
        <v>-47.949455845855084</v>
      </c>
      <c r="BY64" s="17">
        <v>592759</v>
      </c>
      <c r="BZ64" s="17">
        <v>3971112</v>
      </c>
      <c r="CA64" s="18">
        <f t="shared" si="417"/>
        <v>569.93702330964186</v>
      </c>
      <c r="CB64" s="6"/>
    </row>
    <row r="65" spans="1:80" s="1" customFormat="1" ht="19.5" customHeight="1" thickBot="1">
      <c r="A65" s="166"/>
      <c r="B65" s="168"/>
      <c r="C65" s="34" t="s">
        <v>105</v>
      </c>
      <c r="D65" s="19">
        <f t="shared" ref="D65:L65" si="418">D64/D63</f>
        <v>10.724425</v>
      </c>
      <c r="E65" s="19">
        <f t="shared" si="418"/>
        <v>13.36</v>
      </c>
      <c r="F65" s="19">
        <f t="shared" si="418"/>
        <v>21.176903346390155</v>
      </c>
      <c r="G65" s="19">
        <f t="shared" si="418"/>
        <v>15.379960317460318</v>
      </c>
      <c r="H65" s="20">
        <f>H64/H63</f>
        <v>13.690175145747173</v>
      </c>
      <c r="I65" s="20">
        <f>I64/I63</f>
        <v>16.488747038694392</v>
      </c>
      <c r="J65" s="20">
        <f>J64/J63</f>
        <v>7.7407934600919353</v>
      </c>
      <c r="K65" s="20" t="e">
        <f t="shared" si="418"/>
        <v>#DIV/0!</v>
      </c>
      <c r="L65" s="20">
        <f t="shared" si="418"/>
        <v>8.2136243386243386</v>
      </c>
      <c r="M65" s="46"/>
      <c r="N65" s="20" t="e">
        <f>N64/N63</f>
        <v>#DIV/0!</v>
      </c>
      <c r="O65" s="20">
        <f>O64/O63</f>
        <v>8.4605103615520285</v>
      </c>
      <c r="P65" s="47"/>
      <c r="Q65" s="20" t="e">
        <f>Q64/Q63</f>
        <v>#DIV/0!</v>
      </c>
      <c r="R65" s="20">
        <f>R64/R63</f>
        <v>8.3370673500881836</v>
      </c>
      <c r="S65" s="47"/>
      <c r="T65" s="20" t="e">
        <f>T64/T63</f>
        <v>#DIV/0!</v>
      </c>
      <c r="U65" s="20">
        <f>U64/U63</f>
        <v>328</v>
      </c>
      <c r="V65" s="47"/>
      <c r="W65" s="20" t="e">
        <f>W64/W63</f>
        <v>#DIV/0!</v>
      </c>
      <c r="X65" s="20">
        <f>X64/X63</f>
        <v>8.3414718161400998</v>
      </c>
      <c r="Y65" s="47"/>
      <c r="Z65" s="20" t="e">
        <f>Z64/Z63</f>
        <v>#DIV/0!</v>
      </c>
      <c r="AA65" s="20">
        <f>AA64/AA63</f>
        <v>8.6105967078189298</v>
      </c>
      <c r="AB65" s="47"/>
      <c r="AC65" s="20" t="e">
        <f>AC64/AC63</f>
        <v>#DIV/0!</v>
      </c>
      <c r="AD65" s="20">
        <f>AD64/AD63</f>
        <v>8.4383559227872773</v>
      </c>
      <c r="AE65" s="47"/>
      <c r="AF65" s="20" t="e">
        <f>AF64/AF63</f>
        <v>#DIV/0!</v>
      </c>
      <c r="AG65" s="20">
        <f>AG64/AG63</f>
        <v>8.9598775260257195</v>
      </c>
      <c r="AH65" s="47"/>
      <c r="AI65" s="20" t="e">
        <f>AI64/AI63</f>
        <v>#DIV/0!</v>
      </c>
      <c r="AJ65" s="20">
        <f>AJ64/AJ63</f>
        <v>8.5764073502522269</v>
      </c>
      <c r="AK65" s="47"/>
      <c r="AL65" s="20" t="e">
        <f>AL64/AL63</f>
        <v>#DIV/0!</v>
      </c>
      <c r="AM65" s="20">
        <f>AM64/AM63</f>
        <v>11.730281207133059</v>
      </c>
      <c r="AN65" s="47"/>
      <c r="AO65" s="20" t="e">
        <f>AO64/AO63</f>
        <v>#DIV/0!</v>
      </c>
      <c r="AP65" s="20">
        <f>AP64/AP63</f>
        <v>9.2365137144321974</v>
      </c>
      <c r="AQ65" s="47"/>
      <c r="AR65" s="20" t="e">
        <f>AR64/AR63</f>
        <v>#DIV/0!</v>
      </c>
      <c r="AS65" s="20">
        <f>AS64/AS63</f>
        <v>12.400034293552812</v>
      </c>
      <c r="AT65" s="47"/>
      <c r="AU65" s="20" t="e">
        <f>AU64/AU63</f>
        <v>#DIV/0!</v>
      </c>
      <c r="AV65" s="20">
        <f>AV64/AV63</f>
        <v>9.7840414797730997</v>
      </c>
      <c r="AW65" s="47"/>
      <c r="AX65" s="20">
        <f>AX64/AX63</f>
        <v>8.4139999999999997</v>
      </c>
      <c r="AY65" s="20">
        <f>AY64/AY63</f>
        <v>11.409141009625984</v>
      </c>
      <c r="AZ65" s="47"/>
      <c r="BA65" s="20">
        <f>BA64/BA63</f>
        <v>8.4139999999999997</v>
      </c>
      <c r="BB65" s="20">
        <f>BB64/BB63</f>
        <v>9.9521650221215392</v>
      </c>
      <c r="BC65" s="47"/>
      <c r="BD65" s="20" t="e">
        <f>BD64/BD63</f>
        <v>#DIV/0!</v>
      </c>
      <c r="BE65" s="20">
        <f>BE64/BE63</f>
        <v>11.627442403032955</v>
      </c>
      <c r="BF65" s="47"/>
      <c r="BG65" s="20">
        <f>BG64/BG63</f>
        <v>8.4139999999999997</v>
      </c>
      <c r="BH65" s="20">
        <f>BH64/BH63</f>
        <v>10.110348886838953</v>
      </c>
      <c r="BI65" s="47"/>
      <c r="BJ65" s="20">
        <f>BJ64/BJ63</f>
        <v>9.570666666666666</v>
      </c>
      <c r="BK65" s="20">
        <f>BK64/BK63</f>
        <v>11.10359102488732</v>
      </c>
      <c r="BL65" s="47"/>
      <c r="BM65" s="20">
        <f>BM64/BM63</f>
        <v>9.2814999999999994</v>
      </c>
      <c r="BN65" s="20">
        <f>BN64/BN63</f>
        <v>10.232722092784625</v>
      </c>
      <c r="BO65" s="47"/>
      <c r="BP65" s="20" t="e">
        <f>BP64/BP63</f>
        <v>#DIV/0!</v>
      </c>
      <c r="BQ65" s="20">
        <f>BQ64/BQ63</f>
        <v>10.70323694749605</v>
      </c>
      <c r="BR65" s="47"/>
      <c r="BS65" s="20">
        <f>BS64/BS63</f>
        <v>9.2814999999999994</v>
      </c>
      <c r="BT65" s="20">
        <f>BT64/BT63</f>
        <v>10.268436685119852</v>
      </c>
      <c r="BU65" s="47"/>
      <c r="BV65" s="20">
        <f>BV64/BV63</f>
        <v>7.6558779761904763</v>
      </c>
      <c r="BW65" s="20">
        <f>BW64/BW63</f>
        <v>10.626469723691946</v>
      </c>
      <c r="BX65" s="47"/>
      <c r="BY65" s="20">
        <f>BY64/BY63</f>
        <v>7.7407934600919353</v>
      </c>
      <c r="BZ65" s="20">
        <f>BZ64/BZ63</f>
        <v>10.293695127546458</v>
      </c>
      <c r="CA65" s="47"/>
      <c r="CB65" s="6"/>
    </row>
    <row r="66" spans="1:80" s="1" customFormat="1" ht="19.5" customHeight="1">
      <c r="A66" s="164" t="s">
        <v>101</v>
      </c>
      <c r="B66" s="133" t="s">
        <v>77</v>
      </c>
      <c r="C66" s="32" t="s">
        <v>42</v>
      </c>
      <c r="D66" s="22">
        <v>73185</v>
      </c>
      <c r="E66" s="22">
        <v>338772</v>
      </c>
      <c r="F66" s="22">
        <v>450138</v>
      </c>
      <c r="G66" s="22">
        <v>622270</v>
      </c>
      <c r="H66" s="22">
        <v>917047</v>
      </c>
      <c r="I66" s="22">
        <v>1327334</v>
      </c>
      <c r="J66" s="22">
        <v>1928211</v>
      </c>
      <c r="K66" s="22">
        <v>74100</v>
      </c>
      <c r="L66" s="22">
        <v>155825</v>
      </c>
      <c r="M66" s="43">
        <f t="shared" si="0"/>
        <v>110.2901484480432</v>
      </c>
      <c r="N66" s="23">
        <f>Q66-K66</f>
        <v>135000</v>
      </c>
      <c r="O66" s="22">
        <f>R66-L66</f>
        <v>159000</v>
      </c>
      <c r="P66" s="15">
        <f t="shared" si="1"/>
        <v>17.777777777777782</v>
      </c>
      <c r="Q66" s="22">
        <v>209100</v>
      </c>
      <c r="R66" s="22">
        <v>314825</v>
      </c>
      <c r="S66" s="15">
        <f t="shared" si="2"/>
        <v>50.561932089909135</v>
      </c>
      <c r="T66" s="23">
        <f>W66-Q66</f>
        <v>277000</v>
      </c>
      <c r="U66" s="22">
        <f>X66-R66</f>
        <v>275301</v>
      </c>
      <c r="V66" s="15">
        <f t="shared" ref="V66:V67" si="419">(U66/T66-1)*100</f>
        <v>-0.61335740072202549</v>
      </c>
      <c r="W66" s="22">
        <v>486100</v>
      </c>
      <c r="X66" s="22">
        <v>590126</v>
      </c>
      <c r="Y66" s="15">
        <f t="shared" ref="Y66:Y67" si="420">(X66/W66-1)*100</f>
        <v>21.400123431392725</v>
      </c>
      <c r="Z66" s="23">
        <f>AC66-W66</f>
        <v>327525</v>
      </c>
      <c r="AA66" s="22">
        <f>AD66-X66</f>
        <v>195328</v>
      </c>
      <c r="AB66" s="15">
        <f t="shared" ref="AB66:AB67" si="421">(AA66/Z66-1)*100</f>
        <v>-40.362415082818103</v>
      </c>
      <c r="AC66" s="22">
        <v>813625</v>
      </c>
      <c r="AD66" s="22">
        <v>785454</v>
      </c>
      <c r="AE66" s="15">
        <f t="shared" ref="AE66:AE67" si="422">(AD66/AC66-1)*100</f>
        <v>-3.462405899523735</v>
      </c>
      <c r="AF66" s="23">
        <f>AI66-AC66</f>
        <v>222000</v>
      </c>
      <c r="AG66" s="22">
        <f>AJ66-AD66</f>
        <v>258400</v>
      </c>
      <c r="AH66" s="15">
        <f t="shared" ref="AH66:AH67" si="423">(AG66/AF66-1)*100</f>
        <v>16.396396396396405</v>
      </c>
      <c r="AI66" s="22">
        <v>1035625</v>
      </c>
      <c r="AJ66" s="22">
        <v>1043854</v>
      </c>
      <c r="AK66" s="15">
        <f t="shared" ref="AK66:AK67" si="424">(AJ66/AI66-1)*100</f>
        <v>0.79459263729630969</v>
      </c>
      <c r="AL66" s="23">
        <f>AO66-AI66</f>
        <v>214064</v>
      </c>
      <c r="AM66" s="22">
        <f>AP66-AJ66</f>
        <v>186500</v>
      </c>
      <c r="AN66" s="15">
        <f t="shared" ref="AN66:AN67" si="425">(AM66/AL66-1)*100</f>
        <v>-12.876522909036547</v>
      </c>
      <c r="AO66" s="22">
        <v>1249689</v>
      </c>
      <c r="AP66" s="22">
        <v>1230354</v>
      </c>
      <c r="AQ66" s="15">
        <f t="shared" ref="AQ66:AQ67" si="426">(AP66/AO66-1)*100</f>
        <v>-1.5471849396129778</v>
      </c>
      <c r="AR66" s="23">
        <f>AU66-AO66</f>
        <v>119700</v>
      </c>
      <c r="AS66" s="22">
        <f>AV66-AP66</f>
        <v>155302</v>
      </c>
      <c r="AT66" s="15">
        <f t="shared" ref="AT66:AT67" si="427">(AS66/AR66-1)*100</f>
        <v>29.742690058479539</v>
      </c>
      <c r="AU66" s="22">
        <v>1369389</v>
      </c>
      <c r="AV66" s="22">
        <v>1385656</v>
      </c>
      <c r="AW66" s="15">
        <f t="shared" ref="AW66:AW67" si="428">(AV66/AU66-1)*100</f>
        <v>1.1879020497462811</v>
      </c>
      <c r="AX66" s="23">
        <f>BA66-AU66</f>
        <v>64000</v>
      </c>
      <c r="AY66" s="22">
        <f>BB66-AV66</f>
        <v>128454</v>
      </c>
      <c r="AZ66" s="15">
        <f t="shared" ref="AZ66:AZ67" si="429">(AY66/AX66-1)*100</f>
        <v>100.70937500000001</v>
      </c>
      <c r="BA66" s="22">
        <v>1433389</v>
      </c>
      <c r="BB66" s="22">
        <v>1514110</v>
      </c>
      <c r="BC66" s="15">
        <f t="shared" ref="BC66:BC67" si="430">(BB66/BA66-1)*100</f>
        <v>5.6314789634914098</v>
      </c>
      <c r="BD66" s="23">
        <f>BG66-BA66</f>
        <v>200000</v>
      </c>
      <c r="BE66" s="22">
        <f>BH66-BB66</f>
        <v>135000</v>
      </c>
      <c r="BF66" s="15">
        <f t="shared" ref="BF66:BF67" si="431">(BE66/BD66-1)*100</f>
        <v>-32.499999999999993</v>
      </c>
      <c r="BG66" s="22">
        <v>1633389</v>
      </c>
      <c r="BH66" s="22">
        <v>1649110</v>
      </c>
      <c r="BI66" s="15">
        <f t="shared" ref="BI66:BI67" si="432">(BH66/BG66-1)*100</f>
        <v>0.96247740128041492</v>
      </c>
      <c r="BJ66" s="23">
        <f>BM66-BG66</f>
        <v>160001</v>
      </c>
      <c r="BK66" s="22">
        <f>BN66-BH66</f>
        <v>65200</v>
      </c>
      <c r="BL66" s="15">
        <f t="shared" ref="BL66:BL67" si="433">(BK66/BJ66-1)*100</f>
        <v>-59.25025468590821</v>
      </c>
      <c r="BM66" s="22">
        <v>1793390</v>
      </c>
      <c r="BN66" s="22">
        <v>1714310</v>
      </c>
      <c r="BO66" s="15">
        <f t="shared" ref="BO66:BO67" si="434">(BN66/BM66-1)*100</f>
        <v>-4.4095260930416718</v>
      </c>
      <c r="BP66" s="23">
        <f>BS66-BM66</f>
        <v>66000</v>
      </c>
      <c r="BQ66" s="22">
        <f>BT66-BN66</f>
        <v>93504</v>
      </c>
      <c r="BR66" s="15">
        <f t="shared" ref="BR66:BR67" si="435">(BQ66/BP66-1)*100</f>
        <v>41.672727272727286</v>
      </c>
      <c r="BS66" s="22">
        <v>1859390</v>
      </c>
      <c r="BT66" s="22">
        <v>1807814</v>
      </c>
      <c r="BU66" s="15">
        <f t="shared" ref="BU66:BU67" si="436">(BT66/BS66-1)*100</f>
        <v>-2.7738129171394954</v>
      </c>
      <c r="BV66" s="23">
        <f>BY66-BS66</f>
        <v>68821</v>
      </c>
      <c r="BW66" s="22">
        <f>BZ66-BT66</f>
        <v>122202</v>
      </c>
      <c r="BX66" s="15">
        <f t="shared" ref="BX66:BX67" si="437">(BW66/BV66-1)*100</f>
        <v>77.564987431161995</v>
      </c>
      <c r="BY66" s="22">
        <v>1928211</v>
      </c>
      <c r="BZ66" s="22">
        <v>1930016</v>
      </c>
      <c r="CA66" s="15">
        <f t="shared" ref="CA66:CA67" si="438">(BZ66/BY66-1)*100</f>
        <v>9.3610087277795628E-2</v>
      </c>
      <c r="CB66" s="6"/>
    </row>
    <row r="67" spans="1:80" s="1" customFormat="1" ht="19.5" customHeight="1">
      <c r="A67" s="154"/>
      <c r="B67" s="115"/>
      <c r="C67" s="33" t="s">
        <v>104</v>
      </c>
      <c r="D67" s="17">
        <v>428774</v>
      </c>
      <c r="E67" s="17">
        <v>2760940</v>
      </c>
      <c r="F67" s="17">
        <v>6226520</v>
      </c>
      <c r="G67" s="17">
        <v>7276954</v>
      </c>
      <c r="H67" s="17">
        <v>8567044</v>
      </c>
      <c r="I67" s="17">
        <v>10942198</v>
      </c>
      <c r="J67" s="17">
        <v>12889187</v>
      </c>
      <c r="K67" s="17">
        <v>589472</v>
      </c>
      <c r="L67" s="17">
        <v>779508</v>
      </c>
      <c r="M67" s="44">
        <f t="shared" si="0"/>
        <v>32.238342109548881</v>
      </c>
      <c r="N67" s="14">
        <f>Q67-K67</f>
        <v>964831</v>
      </c>
      <c r="O67" s="14">
        <f>R67-L67</f>
        <v>834211</v>
      </c>
      <c r="P67" s="18">
        <f t="shared" si="1"/>
        <v>-13.538122220368132</v>
      </c>
      <c r="Q67" s="17">
        <v>1554303</v>
      </c>
      <c r="R67" s="17">
        <v>1613719</v>
      </c>
      <c r="S67" s="18">
        <f t="shared" si="2"/>
        <v>3.8226780749956779</v>
      </c>
      <c r="T67" s="14">
        <f>W67-Q67</f>
        <v>1942921</v>
      </c>
      <c r="U67" s="14">
        <f>X67-R67</f>
        <v>1250056</v>
      </c>
      <c r="V67" s="18">
        <f t="shared" si="419"/>
        <v>-35.660997024583082</v>
      </c>
      <c r="W67" s="17">
        <v>3497224</v>
      </c>
      <c r="X67" s="17">
        <v>2863775</v>
      </c>
      <c r="Y67" s="18">
        <f t="shared" si="420"/>
        <v>-18.112908981523635</v>
      </c>
      <c r="Z67" s="14">
        <f>AC67-W67</f>
        <v>2394236</v>
      </c>
      <c r="AA67" s="14">
        <f>AD67-X67</f>
        <v>972797</v>
      </c>
      <c r="AB67" s="18">
        <f t="shared" si="421"/>
        <v>-59.369210052810175</v>
      </c>
      <c r="AC67" s="17">
        <v>5891460</v>
      </c>
      <c r="AD67" s="17">
        <v>3836572</v>
      </c>
      <c r="AE67" s="18">
        <f t="shared" si="422"/>
        <v>-34.879096183289029</v>
      </c>
      <c r="AF67" s="14">
        <f>AI67-AC67</f>
        <v>1629636</v>
      </c>
      <c r="AG67" s="14">
        <f>AJ67-AD67</f>
        <v>1331018</v>
      </c>
      <c r="AH67" s="18">
        <f t="shared" si="423"/>
        <v>-18.32421473261514</v>
      </c>
      <c r="AI67" s="17">
        <v>7521096</v>
      </c>
      <c r="AJ67" s="17">
        <v>5167590</v>
      </c>
      <c r="AK67" s="18">
        <f t="shared" si="424"/>
        <v>-31.29206168888151</v>
      </c>
      <c r="AL67" s="14">
        <f>AO67-AI67</f>
        <v>1578455</v>
      </c>
      <c r="AM67" s="14">
        <f>AP67-AJ67</f>
        <v>1058537</v>
      </c>
      <c r="AN67" s="18">
        <f t="shared" si="425"/>
        <v>-32.938411294588697</v>
      </c>
      <c r="AO67" s="17">
        <v>9099551</v>
      </c>
      <c r="AP67" s="17">
        <v>6226127</v>
      </c>
      <c r="AQ67" s="18">
        <f t="shared" si="426"/>
        <v>-31.577645973960689</v>
      </c>
      <c r="AR67" s="14">
        <f>AU67-AO67</f>
        <v>877901</v>
      </c>
      <c r="AS67" s="14">
        <f>AV67-AP67</f>
        <v>914958</v>
      </c>
      <c r="AT67" s="18">
        <f t="shared" si="427"/>
        <v>4.221090988619447</v>
      </c>
      <c r="AU67" s="17">
        <v>9977452</v>
      </c>
      <c r="AV67" s="17">
        <v>7141085</v>
      </c>
      <c r="AW67" s="18">
        <f t="shared" si="428"/>
        <v>-28.427768933391008</v>
      </c>
      <c r="AX67" s="14">
        <f>BA67-AU67</f>
        <v>452555</v>
      </c>
      <c r="AY67" s="14">
        <f>BB67-AV67</f>
        <v>763683</v>
      </c>
      <c r="AZ67" s="18">
        <f t="shared" si="429"/>
        <v>68.749212802863752</v>
      </c>
      <c r="BA67" s="17">
        <v>10430007</v>
      </c>
      <c r="BB67" s="17">
        <v>7904768</v>
      </c>
      <c r="BC67" s="18">
        <f t="shared" si="430"/>
        <v>-24.211287681782</v>
      </c>
      <c r="BD67" s="14">
        <f>BG67-BA67</f>
        <v>770029</v>
      </c>
      <c r="BE67" s="14">
        <f>BH67-BB67</f>
        <v>732931</v>
      </c>
      <c r="BF67" s="18">
        <f t="shared" si="431"/>
        <v>-4.817740630547684</v>
      </c>
      <c r="BG67" s="17">
        <v>11200036</v>
      </c>
      <c r="BH67" s="17">
        <v>8637699</v>
      </c>
      <c r="BI67" s="18">
        <f t="shared" si="432"/>
        <v>-22.877935392350523</v>
      </c>
      <c r="BJ67" s="14">
        <f>BM67-BG67</f>
        <v>951445</v>
      </c>
      <c r="BK67" s="14">
        <f>BN67-BH67</f>
        <v>428508</v>
      </c>
      <c r="BL67" s="18">
        <f t="shared" si="433"/>
        <v>-54.962399297910025</v>
      </c>
      <c r="BM67" s="17">
        <v>12151481</v>
      </c>
      <c r="BN67" s="17">
        <v>9066207</v>
      </c>
      <c r="BO67" s="18">
        <f t="shared" si="434"/>
        <v>-25.390106769701571</v>
      </c>
      <c r="BP67" s="14">
        <f>BS67-BM67</f>
        <v>364928</v>
      </c>
      <c r="BQ67" s="14">
        <f>BT67-BN67</f>
        <v>627876</v>
      </c>
      <c r="BR67" s="18">
        <f t="shared" si="435"/>
        <v>72.054761487197467</v>
      </c>
      <c r="BS67" s="17">
        <v>12516409</v>
      </c>
      <c r="BT67" s="17">
        <v>9694083</v>
      </c>
      <c r="BU67" s="18">
        <f t="shared" si="436"/>
        <v>-22.549007466918024</v>
      </c>
      <c r="BV67" s="14">
        <f>BY67-BS67</f>
        <v>372778</v>
      </c>
      <c r="BW67" s="14">
        <f>BZ67-BT67</f>
        <v>781003</v>
      </c>
      <c r="BX67" s="18">
        <f t="shared" si="437"/>
        <v>109.50887659679486</v>
      </c>
      <c r="BY67" s="17">
        <v>12889187</v>
      </c>
      <c r="BZ67" s="17">
        <v>10475086</v>
      </c>
      <c r="CA67" s="18">
        <f t="shared" si="438"/>
        <v>-18.729660761380838</v>
      </c>
      <c r="CB67" s="6"/>
    </row>
    <row r="68" spans="1:80" s="1" customFormat="1" ht="19.5" customHeight="1" thickBot="1">
      <c r="A68" s="155"/>
      <c r="B68" s="116"/>
      <c r="C68" s="34" t="s">
        <v>105</v>
      </c>
      <c r="D68" s="19">
        <f t="shared" ref="D68:L68" si="439">D67/D66</f>
        <v>5.8587688734030197</v>
      </c>
      <c r="E68" s="19">
        <f t="shared" si="439"/>
        <v>8.149847094801224</v>
      </c>
      <c r="F68" s="19">
        <f t="shared" si="439"/>
        <v>13.832469153903913</v>
      </c>
      <c r="G68" s="19">
        <f t="shared" si="439"/>
        <v>11.694206694843075</v>
      </c>
      <c r="H68" s="20">
        <f>H67/H66</f>
        <v>9.3419901051963539</v>
      </c>
      <c r="I68" s="20">
        <f>I67/I66</f>
        <v>8.2437412135905515</v>
      </c>
      <c r="J68" s="20">
        <f>J67/J66</f>
        <v>6.6845314127966287</v>
      </c>
      <c r="K68" s="20">
        <f t="shared" si="439"/>
        <v>7.9550877192982457</v>
      </c>
      <c r="L68" s="20">
        <f t="shared" si="439"/>
        <v>5.0024578854484201</v>
      </c>
      <c r="M68" s="46"/>
      <c r="N68" s="20">
        <f>N67/N66</f>
        <v>7.1468962962962959</v>
      </c>
      <c r="O68" s="20">
        <f>O67/O66</f>
        <v>5.2466100628930814</v>
      </c>
      <c r="P68" s="47"/>
      <c r="Q68" s="20">
        <f>Q67/Q66</f>
        <v>7.4332998565279773</v>
      </c>
      <c r="R68" s="20">
        <f>R67/R66</f>
        <v>5.1257651075994604</v>
      </c>
      <c r="S68" s="47"/>
      <c r="T68" s="20">
        <f>T67/T66</f>
        <v>7.0141552346570393</v>
      </c>
      <c r="U68" s="20">
        <f>U67/U66</f>
        <v>4.5406881921969049</v>
      </c>
      <c r="V68" s="47"/>
      <c r="W68" s="20">
        <f>W67/W66</f>
        <v>7.1944538160872247</v>
      </c>
      <c r="X68" s="20">
        <f>X67/X66</f>
        <v>4.8528195673466348</v>
      </c>
      <c r="Y68" s="47"/>
      <c r="Z68" s="20">
        <f>Z67/Z66</f>
        <v>7.3100862529577899</v>
      </c>
      <c r="AA68" s="20">
        <f>AA67/AA66</f>
        <v>4.9803254013761471</v>
      </c>
      <c r="AB68" s="47"/>
      <c r="AC68" s="20">
        <f>AC67/AC66</f>
        <v>7.241001689967737</v>
      </c>
      <c r="AD68" s="20">
        <f>AD67/AD66</f>
        <v>4.8845279290703214</v>
      </c>
      <c r="AE68" s="47"/>
      <c r="AF68" s="20">
        <f>AF67/AF66</f>
        <v>7.3407027027027025</v>
      </c>
      <c r="AG68" s="20">
        <f>AG67/AG66</f>
        <v>5.1509984520123835</v>
      </c>
      <c r="AH68" s="47"/>
      <c r="AI68" s="20">
        <f>AI67/AI66</f>
        <v>7.262373928786964</v>
      </c>
      <c r="AJ68" s="20">
        <f>AJ67/AJ66</f>
        <v>4.9504911606412394</v>
      </c>
      <c r="AK68" s="47"/>
      <c r="AL68" s="20">
        <f>AL67/AL66</f>
        <v>7.3737527094700654</v>
      </c>
      <c r="AM68" s="20">
        <f>AM67/AM66</f>
        <v>5.6758016085790883</v>
      </c>
      <c r="AN68" s="47"/>
      <c r="AO68" s="20">
        <f>AO67/AO66</f>
        <v>7.2814524253634305</v>
      </c>
      <c r="AP68" s="20">
        <f>AP67/AP66</f>
        <v>5.0604354519105881</v>
      </c>
      <c r="AQ68" s="47"/>
      <c r="AR68" s="20">
        <f>AR67/AR66</f>
        <v>7.334177109440267</v>
      </c>
      <c r="AS68" s="20">
        <f>AS67/AS66</f>
        <v>5.8914759629624864</v>
      </c>
      <c r="AT68" s="47"/>
      <c r="AU68" s="20">
        <f>AU67/AU66</f>
        <v>7.286061155741721</v>
      </c>
      <c r="AV68" s="20">
        <f>AV67/AV66</f>
        <v>5.1535770782936021</v>
      </c>
      <c r="AW68" s="47"/>
      <c r="AX68" s="20">
        <f>AX67/AX66</f>
        <v>7.0711718750000001</v>
      </c>
      <c r="AY68" s="20">
        <f>AY67/AY66</f>
        <v>5.945186603764772</v>
      </c>
      <c r="AZ68" s="47"/>
      <c r="BA68" s="20">
        <f>BA67/BA66</f>
        <v>7.2764664721160832</v>
      </c>
      <c r="BB68" s="20">
        <f>BB67/BB66</f>
        <v>5.2207356136608301</v>
      </c>
      <c r="BC68" s="47"/>
      <c r="BD68" s="20">
        <f>BD67/BD66</f>
        <v>3.8501449999999999</v>
      </c>
      <c r="BE68" s="20">
        <f>BE67/BE66</f>
        <v>5.4291185185185187</v>
      </c>
      <c r="BF68" s="47"/>
      <c r="BG68" s="20">
        <f>BG67/BG66</f>
        <v>6.8569312025488109</v>
      </c>
      <c r="BH68" s="20">
        <f>BH67/BH66</f>
        <v>5.2377943254240167</v>
      </c>
      <c r="BI68" s="47"/>
      <c r="BJ68" s="20">
        <f>BJ67/BJ66</f>
        <v>5.946494084411972</v>
      </c>
      <c r="BK68" s="20">
        <f>BK67/BK66</f>
        <v>6.5722085889570554</v>
      </c>
      <c r="BL68" s="47"/>
      <c r="BM68" s="20">
        <f>BM67/BM66</f>
        <v>6.7757046710419928</v>
      </c>
      <c r="BN68" s="20">
        <f>BN67/BN66</f>
        <v>5.2885458289340903</v>
      </c>
      <c r="BO68" s="47"/>
      <c r="BP68" s="20">
        <f>BP67/BP66</f>
        <v>5.5292121212121215</v>
      </c>
      <c r="BQ68" s="20">
        <f>BQ67/BQ66</f>
        <v>6.7149640657084193</v>
      </c>
      <c r="BR68" s="47"/>
      <c r="BS68" s="20">
        <f>BS67/BS66</f>
        <v>6.7314597798202636</v>
      </c>
      <c r="BT68" s="20">
        <f>BT67/BT66</f>
        <v>5.3623232257300808</v>
      </c>
      <c r="BU68" s="47"/>
      <c r="BV68" s="20">
        <f>BV67/BV66</f>
        <v>5.4166315514159926</v>
      </c>
      <c r="BW68" s="20">
        <f>BW67/BW66</f>
        <v>6.3910819790183471</v>
      </c>
      <c r="BX68" s="47"/>
      <c r="BY68" s="20">
        <f>BY67/BY66</f>
        <v>6.6845314127966287</v>
      </c>
      <c r="BZ68" s="20">
        <f>BZ67/BZ66</f>
        <v>5.4274607049889738</v>
      </c>
      <c r="CA68" s="47"/>
      <c r="CB68" s="6"/>
    </row>
    <row r="69" spans="1:80" s="1" customFormat="1" ht="19.5" customHeight="1">
      <c r="A69" s="169" t="s">
        <v>102</v>
      </c>
      <c r="B69" s="171" t="s">
        <v>78</v>
      </c>
      <c r="C69" s="32" t="s">
        <v>42</v>
      </c>
      <c r="D69" s="22">
        <v>39270</v>
      </c>
      <c r="E69" s="22">
        <v>559698</v>
      </c>
      <c r="F69" s="22">
        <v>800</v>
      </c>
      <c r="G69" s="22">
        <v>700</v>
      </c>
      <c r="H69" s="22">
        <v>20024</v>
      </c>
      <c r="I69" s="22">
        <v>19506</v>
      </c>
      <c r="J69" s="22">
        <v>1000</v>
      </c>
      <c r="K69" s="22">
        <v>0</v>
      </c>
      <c r="L69" s="22">
        <v>20</v>
      </c>
      <c r="M69" s="43" t="e">
        <f t="shared" si="0"/>
        <v>#DIV/0!</v>
      </c>
      <c r="N69" s="23">
        <f>Q69-K69</f>
        <v>0</v>
      </c>
      <c r="O69" s="22">
        <f>R69-L69</f>
        <v>0</v>
      </c>
      <c r="P69" s="15" t="e">
        <f t="shared" si="1"/>
        <v>#DIV/0!</v>
      </c>
      <c r="Q69" s="22">
        <v>0</v>
      </c>
      <c r="R69" s="22">
        <v>20</v>
      </c>
      <c r="S69" s="15" t="e">
        <f t="shared" si="2"/>
        <v>#DIV/0!</v>
      </c>
      <c r="T69" s="23">
        <f>W69-Q69</f>
        <v>0</v>
      </c>
      <c r="U69" s="22">
        <f>X69-R69</f>
        <v>0</v>
      </c>
      <c r="V69" s="15" t="e">
        <f t="shared" ref="V69" si="440">(U69/T69-1)*100</f>
        <v>#DIV/0!</v>
      </c>
      <c r="W69" s="22">
        <v>0</v>
      </c>
      <c r="X69" s="22">
        <v>20</v>
      </c>
      <c r="Y69" s="15" t="e">
        <f t="shared" ref="Y69" si="441">(X69/W69-1)*100</f>
        <v>#DIV/0!</v>
      </c>
      <c r="Z69" s="23">
        <f>AC69-W69</f>
        <v>0</v>
      </c>
      <c r="AA69" s="22">
        <f>AD69-X69</f>
        <v>10</v>
      </c>
      <c r="AB69" s="15" t="e">
        <f t="shared" ref="AB69" si="442">(AA69/Z69-1)*100</f>
        <v>#DIV/0!</v>
      </c>
      <c r="AC69" s="22">
        <v>0</v>
      </c>
      <c r="AD69" s="22">
        <v>30</v>
      </c>
      <c r="AE69" s="15" t="e">
        <f t="shared" ref="AE69" si="443">(AD69/AC69-1)*100</f>
        <v>#DIV/0!</v>
      </c>
      <c r="AF69" s="23">
        <f>AI69-AC69</f>
        <v>0</v>
      </c>
      <c r="AG69" s="22">
        <f>AJ69-AD69</f>
        <v>1</v>
      </c>
      <c r="AH69" s="15" t="e">
        <f t="shared" ref="AH69" si="444">(AG69/AF69-1)*100</f>
        <v>#DIV/0!</v>
      </c>
      <c r="AI69" s="22">
        <v>0</v>
      </c>
      <c r="AJ69" s="22">
        <v>31</v>
      </c>
      <c r="AK69" s="15" t="e">
        <f t="shared" ref="AK69" si="445">(AJ69/AI69-1)*100</f>
        <v>#DIV/0!</v>
      </c>
      <c r="AL69" s="23">
        <f>AO69-AI69</f>
        <v>0</v>
      </c>
      <c r="AM69" s="22">
        <f>AP69-AJ69</f>
        <v>0</v>
      </c>
      <c r="AN69" s="15" t="e">
        <f t="shared" ref="AN69" si="446">(AM69/AL69-1)*100</f>
        <v>#DIV/0!</v>
      </c>
      <c r="AO69" s="22">
        <v>0</v>
      </c>
      <c r="AP69" s="22">
        <v>31</v>
      </c>
      <c r="AQ69" s="15" t="e">
        <f t="shared" ref="AQ69" si="447">(AP69/AO69-1)*100</f>
        <v>#DIV/0!</v>
      </c>
      <c r="AR69" s="23">
        <f>AU69-AO69</f>
        <v>0</v>
      </c>
      <c r="AS69" s="22">
        <f>AV69-AP69</f>
        <v>0</v>
      </c>
      <c r="AT69" s="15" t="e">
        <f t="shared" ref="AT69" si="448">(AS69/AR69-1)*100</f>
        <v>#DIV/0!</v>
      </c>
      <c r="AU69" s="22">
        <v>0</v>
      </c>
      <c r="AV69" s="22">
        <v>31</v>
      </c>
      <c r="AW69" s="15" t="e">
        <f t="shared" ref="AW69" si="449">(AV69/AU69-1)*100</f>
        <v>#DIV/0!</v>
      </c>
      <c r="AX69" s="23">
        <f>BA69-AU69</f>
        <v>1000</v>
      </c>
      <c r="AY69" s="22">
        <f>BB69-AV69</f>
        <v>21</v>
      </c>
      <c r="AZ69" s="15">
        <f t="shared" ref="AZ69" si="450">(AY69/AX69-1)*100</f>
        <v>-97.899999999999991</v>
      </c>
      <c r="BA69" s="22">
        <v>1000</v>
      </c>
      <c r="BB69" s="22">
        <v>52</v>
      </c>
      <c r="BC69" s="15">
        <f t="shared" ref="BC69" si="451">(BB69/BA69-1)*100</f>
        <v>-94.8</v>
      </c>
      <c r="BD69" s="23">
        <f>BG69-BA69</f>
        <v>0</v>
      </c>
      <c r="BE69" s="22">
        <f>BH69-BB69</f>
        <v>1</v>
      </c>
      <c r="BF69" s="15" t="e">
        <f t="shared" ref="BF69" si="452">(BE69/BD69-1)*100</f>
        <v>#DIV/0!</v>
      </c>
      <c r="BG69" s="22">
        <v>1000</v>
      </c>
      <c r="BH69" s="22">
        <v>53</v>
      </c>
      <c r="BI69" s="15">
        <f t="shared" ref="BI69" si="453">(BH69/BG69-1)*100</f>
        <v>-94.699999999999989</v>
      </c>
      <c r="BJ69" s="23">
        <f>BM69-BG69</f>
        <v>0</v>
      </c>
      <c r="BK69" s="22">
        <f>BN69-BH69</f>
        <v>0</v>
      </c>
      <c r="BL69" s="15" t="e">
        <f t="shared" ref="BL69" si="454">(BK69/BJ69-1)*100</f>
        <v>#DIV/0!</v>
      </c>
      <c r="BM69" s="22">
        <v>1000</v>
      </c>
      <c r="BN69" s="22">
        <v>53</v>
      </c>
      <c r="BO69" s="15">
        <f t="shared" ref="BO69" si="455">(BN69/BM69-1)*100</f>
        <v>-94.699999999999989</v>
      </c>
      <c r="BP69" s="23">
        <f>BS69-BM69</f>
        <v>0</v>
      </c>
      <c r="BQ69" s="22">
        <f>BT69-BN69</f>
        <v>40</v>
      </c>
      <c r="BR69" s="15" t="e">
        <f t="shared" ref="BR69" si="456">(BQ69/BP69-1)*100</f>
        <v>#DIV/0!</v>
      </c>
      <c r="BS69" s="22">
        <v>1000</v>
      </c>
      <c r="BT69" s="22">
        <v>93</v>
      </c>
      <c r="BU69" s="15">
        <f t="shared" ref="BU69" si="457">(BT69/BS69-1)*100</f>
        <v>-90.7</v>
      </c>
      <c r="BV69" s="23">
        <f>BY69-BS69</f>
        <v>0</v>
      </c>
      <c r="BW69" s="22">
        <f>BZ69-BT69</f>
        <v>1</v>
      </c>
      <c r="BX69" s="15" t="e">
        <f t="shared" ref="BX69" si="458">(BW69/BV69-1)*100</f>
        <v>#DIV/0!</v>
      </c>
      <c r="BY69" s="22">
        <v>1000</v>
      </c>
      <c r="BZ69" s="22">
        <v>94</v>
      </c>
      <c r="CA69" s="15">
        <f t="shared" ref="CA69" si="459">(BZ69/BY69-1)*100</f>
        <v>-90.600000000000009</v>
      </c>
      <c r="CB69" s="6"/>
    </row>
    <row r="70" spans="1:80" s="1" customFormat="1" ht="19.5" customHeight="1">
      <c r="A70" s="169"/>
      <c r="B70" s="171"/>
      <c r="C70" s="33" t="s">
        <v>104</v>
      </c>
      <c r="D70" s="17">
        <v>19822</v>
      </c>
      <c r="E70" s="17">
        <v>481307</v>
      </c>
      <c r="F70" s="17">
        <v>44523</v>
      </c>
      <c r="G70" s="17">
        <v>37994</v>
      </c>
      <c r="H70" s="17">
        <v>751147</v>
      </c>
      <c r="I70" s="17">
        <v>38722</v>
      </c>
      <c r="J70" s="17">
        <v>34456</v>
      </c>
      <c r="K70" s="17">
        <v>0</v>
      </c>
      <c r="L70" s="17">
        <v>8000</v>
      </c>
      <c r="M70" s="44" t="e">
        <f>(L70/K70-1)*100</f>
        <v>#DIV/0!</v>
      </c>
      <c r="N70" s="14">
        <f>Q70-K70</f>
        <v>0</v>
      </c>
      <c r="O70" s="14">
        <f>R70-L70</f>
        <v>0</v>
      </c>
      <c r="P70" s="18" t="e">
        <f>(O70/N70-1)*100</f>
        <v>#DIV/0!</v>
      </c>
      <c r="Q70" s="17">
        <v>0</v>
      </c>
      <c r="R70" s="17">
        <v>8000</v>
      </c>
      <c r="S70" s="18" t="e">
        <f>(R70/Q70-1)*100</f>
        <v>#DIV/0!</v>
      </c>
      <c r="T70" s="14">
        <f>W70-Q70</f>
        <v>0</v>
      </c>
      <c r="U70" s="14">
        <f>X70-R70</f>
        <v>0</v>
      </c>
      <c r="V70" s="18" t="e">
        <f>(U70/T70-1)*100</f>
        <v>#DIV/0!</v>
      </c>
      <c r="W70" s="17">
        <v>0</v>
      </c>
      <c r="X70" s="17">
        <v>8000</v>
      </c>
      <c r="Y70" s="18" t="e">
        <f>(X70/W70-1)*100</f>
        <v>#DIV/0!</v>
      </c>
      <c r="Z70" s="14">
        <f>AC70-W70</f>
        <v>0</v>
      </c>
      <c r="AA70" s="14">
        <f>AD70-X70</f>
        <v>2611</v>
      </c>
      <c r="AB70" s="18" t="e">
        <f>(AA70/Z70-1)*100</f>
        <v>#DIV/0!</v>
      </c>
      <c r="AC70" s="17">
        <v>0</v>
      </c>
      <c r="AD70" s="17">
        <v>10611</v>
      </c>
      <c r="AE70" s="18" t="e">
        <f>(AD70/AC70-1)*100</f>
        <v>#DIV/0!</v>
      </c>
      <c r="AF70" s="14">
        <f>AI70-AC70</f>
        <v>0</v>
      </c>
      <c r="AG70" s="14">
        <f>AJ70-AD70</f>
        <v>123</v>
      </c>
      <c r="AH70" s="18" t="e">
        <f>(AG70/AF70-1)*100</f>
        <v>#DIV/0!</v>
      </c>
      <c r="AI70" s="17">
        <v>0</v>
      </c>
      <c r="AJ70" s="17">
        <v>10734</v>
      </c>
      <c r="AK70" s="18" t="e">
        <f>(AJ70/AI70-1)*100</f>
        <v>#DIV/0!</v>
      </c>
      <c r="AL70" s="14">
        <f>AO70-AI70</f>
        <v>0</v>
      </c>
      <c r="AM70" s="14">
        <f>AP70-AJ70</f>
        <v>121</v>
      </c>
      <c r="AN70" s="18" t="e">
        <f>(AM70/AL70-1)*100</f>
        <v>#DIV/0!</v>
      </c>
      <c r="AO70" s="17">
        <v>0</v>
      </c>
      <c r="AP70" s="17">
        <v>10855</v>
      </c>
      <c r="AQ70" s="18" t="e">
        <f>(AP70/AO70-1)*100</f>
        <v>#DIV/0!</v>
      </c>
      <c r="AR70" s="14">
        <f>AU70-AO70</f>
        <v>0</v>
      </c>
      <c r="AS70" s="14">
        <f>AV70-AP70</f>
        <v>120</v>
      </c>
      <c r="AT70" s="18" t="e">
        <f>(AS70/AR70-1)*100</f>
        <v>#DIV/0!</v>
      </c>
      <c r="AU70" s="17">
        <v>0</v>
      </c>
      <c r="AV70" s="17">
        <v>10975</v>
      </c>
      <c r="AW70" s="18" t="e">
        <f>(AV70/AU70-1)*100</f>
        <v>#DIV/0!</v>
      </c>
      <c r="AX70" s="14">
        <f>BA70-AU70</f>
        <v>34456</v>
      </c>
      <c r="AY70" s="14">
        <f>BB70-AV70</f>
        <v>5184</v>
      </c>
      <c r="AZ70" s="18">
        <f>(AY70/AX70-1)*100</f>
        <v>-84.954724866496406</v>
      </c>
      <c r="BA70" s="17">
        <v>34456</v>
      </c>
      <c r="BB70" s="17">
        <v>16159</v>
      </c>
      <c r="BC70" s="18">
        <f>(BB70/BA70-1)*100</f>
        <v>-53.10250754585558</v>
      </c>
      <c r="BD70" s="14">
        <f>BG70-BA70</f>
        <v>0</v>
      </c>
      <c r="BE70" s="14">
        <f>BH70-BB70</f>
        <v>641</v>
      </c>
      <c r="BF70" s="18" t="e">
        <f>(BE70/BD70-1)*100</f>
        <v>#DIV/0!</v>
      </c>
      <c r="BG70" s="17">
        <v>34456</v>
      </c>
      <c r="BH70" s="17">
        <v>16800</v>
      </c>
      <c r="BI70" s="18">
        <f>(BH70/BG70-1)*100</f>
        <v>-51.242163919201303</v>
      </c>
      <c r="BJ70" s="14">
        <f>BM70-BG70</f>
        <v>0</v>
      </c>
      <c r="BK70" s="14">
        <f>BN70-BH70</f>
        <v>0</v>
      </c>
      <c r="BL70" s="18" t="e">
        <f>(BK70/BJ70-1)*100</f>
        <v>#DIV/0!</v>
      </c>
      <c r="BM70" s="17">
        <v>34456</v>
      </c>
      <c r="BN70" s="17">
        <v>16800</v>
      </c>
      <c r="BO70" s="18">
        <f>(BN70/BM70-1)*100</f>
        <v>-51.242163919201303</v>
      </c>
      <c r="BP70" s="14">
        <f>BS70-BM70</f>
        <v>0</v>
      </c>
      <c r="BQ70" s="14">
        <f>BT70-BN70</f>
        <v>10244</v>
      </c>
      <c r="BR70" s="18" t="e">
        <f>(BQ70/BP70-1)*100</f>
        <v>#DIV/0!</v>
      </c>
      <c r="BS70" s="17">
        <v>34456</v>
      </c>
      <c r="BT70" s="17">
        <v>27044</v>
      </c>
      <c r="BU70" s="18">
        <f>(BT70/BS70-1)*100</f>
        <v>-21.511492918504761</v>
      </c>
      <c r="BV70" s="14">
        <f>BY70-BS70</f>
        <v>0</v>
      </c>
      <c r="BW70" s="14">
        <f>BZ70-BT70</f>
        <v>271</v>
      </c>
      <c r="BX70" s="18" t="e">
        <f>(BW70/BV70-1)*100</f>
        <v>#DIV/0!</v>
      </c>
      <c r="BY70" s="17">
        <v>34456</v>
      </c>
      <c r="BZ70" s="17">
        <v>27315</v>
      </c>
      <c r="CA70" s="18">
        <f>(BZ70/BY70-1)*100</f>
        <v>-20.724982586487116</v>
      </c>
      <c r="CB70" s="6"/>
    </row>
    <row r="71" spans="1:80" s="1" customFormat="1" ht="19.5" customHeight="1" thickBot="1">
      <c r="A71" s="169"/>
      <c r="B71" s="171"/>
      <c r="C71" s="32" t="s">
        <v>105</v>
      </c>
      <c r="D71" s="19">
        <f t="shared" ref="D71:L71" si="460">D70/D69</f>
        <v>0.50476190476190474</v>
      </c>
      <c r="E71" s="19">
        <f t="shared" si="460"/>
        <v>0.85994053936229897</v>
      </c>
      <c r="F71" s="19">
        <f t="shared" si="460"/>
        <v>55.653750000000002</v>
      </c>
      <c r="G71" s="19">
        <f t="shared" si="460"/>
        <v>54.277142857142856</v>
      </c>
      <c r="H71" s="20">
        <f>H70/H69</f>
        <v>37.512335197762688</v>
      </c>
      <c r="I71" s="20">
        <f>I70/I69</f>
        <v>1.9851327796575413</v>
      </c>
      <c r="J71" s="20">
        <f>J70/J69</f>
        <v>34.456000000000003</v>
      </c>
      <c r="K71" s="20" t="e">
        <f t="shared" si="460"/>
        <v>#DIV/0!</v>
      </c>
      <c r="L71" s="20">
        <f t="shared" si="460"/>
        <v>400</v>
      </c>
      <c r="M71" s="46"/>
      <c r="N71" s="20" t="e">
        <f>N70/N69</f>
        <v>#DIV/0!</v>
      </c>
      <c r="O71" s="20" t="e">
        <f>O70/O69</f>
        <v>#DIV/0!</v>
      </c>
      <c r="P71" s="47"/>
      <c r="Q71" s="20" t="e">
        <f>Q70/Q69</f>
        <v>#DIV/0!</v>
      </c>
      <c r="R71" s="20">
        <f>R70/R69</f>
        <v>400</v>
      </c>
      <c r="S71" s="47"/>
      <c r="T71" s="20" t="e">
        <f>T70/T69</f>
        <v>#DIV/0!</v>
      </c>
      <c r="U71" s="20" t="e">
        <f>U70/U69</f>
        <v>#DIV/0!</v>
      </c>
      <c r="V71" s="47"/>
      <c r="W71" s="20" t="e">
        <f>W70/W69</f>
        <v>#DIV/0!</v>
      </c>
      <c r="X71" s="20">
        <f>X70/X69</f>
        <v>400</v>
      </c>
      <c r="Y71" s="47"/>
      <c r="Z71" s="20" t="e">
        <f>Z70/Z69</f>
        <v>#DIV/0!</v>
      </c>
      <c r="AA71" s="20">
        <f>AA70/AA69</f>
        <v>261.10000000000002</v>
      </c>
      <c r="AB71" s="47"/>
      <c r="AC71" s="20" t="e">
        <f>AC70/AC69</f>
        <v>#DIV/0!</v>
      </c>
      <c r="AD71" s="20">
        <f>AD70/AD69</f>
        <v>353.7</v>
      </c>
      <c r="AE71" s="47"/>
      <c r="AF71" s="20" t="e">
        <f>AF70/AF69</f>
        <v>#DIV/0!</v>
      </c>
      <c r="AG71" s="20">
        <f>AG70/AG69</f>
        <v>123</v>
      </c>
      <c r="AH71" s="47"/>
      <c r="AI71" s="20" t="e">
        <f>AI70/AI69</f>
        <v>#DIV/0!</v>
      </c>
      <c r="AJ71" s="20">
        <f>AJ70/AJ69</f>
        <v>346.25806451612902</v>
      </c>
      <c r="AK71" s="47"/>
      <c r="AL71" s="20" t="e">
        <f>AL70/AL69</f>
        <v>#DIV/0!</v>
      </c>
      <c r="AM71" s="20" t="e">
        <f>AM70/AM69</f>
        <v>#DIV/0!</v>
      </c>
      <c r="AN71" s="47"/>
      <c r="AO71" s="20" t="e">
        <f>AO70/AO69</f>
        <v>#DIV/0!</v>
      </c>
      <c r="AP71" s="20">
        <f>AP70/AP69</f>
        <v>350.16129032258067</v>
      </c>
      <c r="AQ71" s="47"/>
      <c r="AR71" s="20" t="e">
        <f>AR70/AR69</f>
        <v>#DIV/0!</v>
      </c>
      <c r="AS71" s="20" t="e">
        <f>AS70/AS69</f>
        <v>#DIV/0!</v>
      </c>
      <c r="AT71" s="47"/>
      <c r="AU71" s="20" t="e">
        <f>AU70/AU69</f>
        <v>#DIV/0!</v>
      </c>
      <c r="AV71" s="20">
        <f>AV70/AV69</f>
        <v>354.03225806451616</v>
      </c>
      <c r="AW71" s="47"/>
      <c r="AX71" s="20">
        <f>AX70/AX69</f>
        <v>34.456000000000003</v>
      </c>
      <c r="AY71" s="20">
        <f>AY70/AY69</f>
        <v>246.85714285714286</v>
      </c>
      <c r="AZ71" s="47"/>
      <c r="BA71" s="20">
        <f>BA70/BA69</f>
        <v>34.456000000000003</v>
      </c>
      <c r="BB71" s="20">
        <f>BB70/BB69</f>
        <v>310.75</v>
      </c>
      <c r="BC71" s="47"/>
      <c r="BD71" s="20" t="e">
        <f>BD70/BD69</f>
        <v>#DIV/0!</v>
      </c>
      <c r="BE71" s="20">
        <f>BE70/BE69</f>
        <v>641</v>
      </c>
      <c r="BF71" s="47"/>
      <c r="BG71" s="20">
        <f>BG70/BG69</f>
        <v>34.456000000000003</v>
      </c>
      <c r="BH71" s="20">
        <f>BH70/BH69</f>
        <v>316.98113207547169</v>
      </c>
      <c r="BI71" s="47"/>
      <c r="BJ71" s="20" t="e">
        <f>BJ70/BJ69</f>
        <v>#DIV/0!</v>
      </c>
      <c r="BK71" s="20" t="e">
        <f>BK70/BK69</f>
        <v>#DIV/0!</v>
      </c>
      <c r="BL71" s="47"/>
      <c r="BM71" s="20">
        <f>BM70/BM69</f>
        <v>34.456000000000003</v>
      </c>
      <c r="BN71" s="20">
        <f>BN70/BN69</f>
        <v>316.98113207547169</v>
      </c>
      <c r="BO71" s="47"/>
      <c r="BP71" s="20" t="e">
        <f>BP70/BP69</f>
        <v>#DIV/0!</v>
      </c>
      <c r="BQ71" s="20">
        <f>BQ70/BQ69</f>
        <v>256.10000000000002</v>
      </c>
      <c r="BR71" s="47"/>
      <c r="BS71" s="20">
        <f>BS70/BS69</f>
        <v>34.456000000000003</v>
      </c>
      <c r="BT71" s="20">
        <f>BT70/BT69</f>
        <v>290.7956989247312</v>
      </c>
      <c r="BU71" s="47"/>
      <c r="BV71" s="20" t="e">
        <f>BV70/BV69</f>
        <v>#DIV/0!</v>
      </c>
      <c r="BW71" s="20">
        <f>BW70/BW69</f>
        <v>271</v>
      </c>
      <c r="BX71" s="47"/>
      <c r="BY71" s="20">
        <f>BY70/BY69</f>
        <v>34.456000000000003</v>
      </c>
      <c r="BZ71" s="20">
        <f>BZ70/BZ69</f>
        <v>290.58510638297872</v>
      </c>
      <c r="CA71" s="47"/>
      <c r="CB71" s="6"/>
    </row>
    <row r="72" spans="1:80" s="1" customFormat="1" ht="19.5" customHeight="1">
      <c r="A72" s="169" t="s">
        <v>103</v>
      </c>
      <c r="B72" s="171" t="s">
        <v>79</v>
      </c>
      <c r="C72" s="62" t="s">
        <v>42</v>
      </c>
      <c r="D72" s="22">
        <v>6047</v>
      </c>
      <c r="E72" s="22">
        <v>10545</v>
      </c>
      <c r="F72" s="22">
        <v>16966</v>
      </c>
      <c r="G72" s="22">
        <v>20039</v>
      </c>
      <c r="H72" s="22">
        <v>50</v>
      </c>
      <c r="I72" s="22">
        <v>187203</v>
      </c>
      <c r="J72" s="22">
        <v>74360</v>
      </c>
      <c r="K72" s="22">
        <v>24028</v>
      </c>
      <c r="L72" s="22">
        <v>17797</v>
      </c>
      <c r="M72" s="43">
        <f>(L72/K72-1)*100</f>
        <v>-25.932245713334446</v>
      </c>
      <c r="N72" s="23">
        <f>Q72-K72</f>
        <v>11938</v>
      </c>
      <c r="O72" s="22">
        <f>R72-L72</f>
        <v>2296</v>
      </c>
      <c r="P72" s="15">
        <f>(O72/N72-1)*100</f>
        <v>-80.767297704808172</v>
      </c>
      <c r="Q72" s="22">
        <v>35966</v>
      </c>
      <c r="R72" s="22">
        <v>20093</v>
      </c>
      <c r="S72" s="15">
        <f>(R72/Q72-1)*100</f>
        <v>-44.13334816215314</v>
      </c>
      <c r="T72" s="23">
        <f>W72-Q72</f>
        <v>14494</v>
      </c>
      <c r="U72" s="22">
        <f>X72-R72</f>
        <v>2022</v>
      </c>
      <c r="V72" s="15">
        <f>(U72/T72-1)*100</f>
        <v>-86.049399751621365</v>
      </c>
      <c r="W72" s="22">
        <v>50460</v>
      </c>
      <c r="X72" s="22">
        <v>22115</v>
      </c>
      <c r="Y72" s="15">
        <f>(X72/W72-1)*100</f>
        <v>-56.17320650019817</v>
      </c>
      <c r="Z72" s="23">
        <f>AC72-W72</f>
        <v>2096</v>
      </c>
      <c r="AA72" s="22">
        <f>AD72-X72</f>
        <v>51</v>
      </c>
      <c r="AB72" s="15">
        <f>(AA72/Z72-1)*100</f>
        <v>-97.56679389312977</v>
      </c>
      <c r="AC72" s="22">
        <v>52556</v>
      </c>
      <c r="AD72" s="22">
        <v>22166</v>
      </c>
      <c r="AE72" s="15">
        <f>(AD72/AC72-1)*100</f>
        <v>-57.824035314711921</v>
      </c>
      <c r="AF72" s="23">
        <f>AI72-AC72</f>
        <v>2046</v>
      </c>
      <c r="AG72" s="22">
        <f>AJ72-AD72</f>
        <v>321</v>
      </c>
      <c r="AH72" s="15">
        <f>(AG72/AF72-1)*100</f>
        <v>-84.310850439882699</v>
      </c>
      <c r="AI72" s="22">
        <v>54602</v>
      </c>
      <c r="AJ72" s="22">
        <v>22487</v>
      </c>
      <c r="AK72" s="15">
        <f>(AJ72/AI72-1)*100</f>
        <v>-58.816526867147722</v>
      </c>
      <c r="AL72" s="23">
        <f>AO72-AI72</f>
        <v>1996</v>
      </c>
      <c r="AM72" s="22">
        <f>AP72-AJ72</f>
        <v>9096</v>
      </c>
      <c r="AN72" s="15">
        <f>(AM72/AL72-1)*100</f>
        <v>355.7114228456914</v>
      </c>
      <c r="AO72" s="22">
        <v>56598</v>
      </c>
      <c r="AP72" s="22">
        <v>31583</v>
      </c>
      <c r="AQ72" s="15">
        <f>(AP72/AO72-1)*100</f>
        <v>-44.197674829499277</v>
      </c>
      <c r="AR72" s="23">
        <f>AU72-AO72</f>
        <v>1298</v>
      </c>
      <c r="AS72" s="22">
        <f>AV72-AP72</f>
        <v>2046</v>
      </c>
      <c r="AT72" s="15">
        <f>(AS72/AR72-1)*100</f>
        <v>57.627118644067799</v>
      </c>
      <c r="AU72" s="22">
        <v>57896</v>
      </c>
      <c r="AV72" s="22">
        <v>33629</v>
      </c>
      <c r="AW72" s="15">
        <f>(AV72/AU72-1)*100</f>
        <v>-41.914812767721429</v>
      </c>
      <c r="AX72" s="23">
        <f>BA72-AU72</f>
        <v>0</v>
      </c>
      <c r="AY72" s="22">
        <f>BB72-AV72</f>
        <v>1</v>
      </c>
      <c r="AZ72" s="15" t="e">
        <f>(AY72/AX72-1)*100</f>
        <v>#DIV/0!</v>
      </c>
      <c r="BA72" s="22">
        <v>57896</v>
      </c>
      <c r="BB72" s="22">
        <v>33630</v>
      </c>
      <c r="BC72" s="15">
        <f>(BB72/BA72-1)*100</f>
        <v>-41.913085532679283</v>
      </c>
      <c r="BD72" s="23">
        <f>BG72-BA72</f>
        <v>13130</v>
      </c>
      <c r="BE72" s="22">
        <f>BH72-BB72</f>
        <v>18760</v>
      </c>
      <c r="BF72" s="15">
        <f>(BE72/BD72-1)*100</f>
        <v>42.878903274942878</v>
      </c>
      <c r="BG72" s="22">
        <v>71026</v>
      </c>
      <c r="BH72" s="22">
        <v>52390</v>
      </c>
      <c r="BI72" s="15">
        <f>(BH72/BG72-1)*100</f>
        <v>-26.23827894010644</v>
      </c>
      <c r="BJ72" s="23">
        <f>BM72-BG72</f>
        <v>40</v>
      </c>
      <c r="BK72" s="22">
        <f>BN72-BH72</f>
        <v>0</v>
      </c>
      <c r="BL72" s="15">
        <f>(BK72/BJ72-1)*100</f>
        <v>-100</v>
      </c>
      <c r="BM72" s="22">
        <v>71066</v>
      </c>
      <c r="BN72" s="22">
        <v>52390</v>
      </c>
      <c r="BO72" s="15">
        <f>(BN72/BM72-1)*100</f>
        <v>-26.279796245743391</v>
      </c>
      <c r="BP72" s="23">
        <f>BS72-BM72</f>
        <v>1298</v>
      </c>
      <c r="BQ72" s="22">
        <f>BT72-BN72</f>
        <v>20653</v>
      </c>
      <c r="BR72" s="15">
        <f>(BQ72/BP72-1)*100</f>
        <v>1491.1402157164869</v>
      </c>
      <c r="BS72" s="22">
        <v>72364</v>
      </c>
      <c r="BT72" s="22">
        <v>73043</v>
      </c>
      <c r="BU72" s="15">
        <f>(BT72/BS72-1)*100</f>
        <v>0.938311867779551</v>
      </c>
      <c r="BV72" s="23">
        <f>BY72-BS72</f>
        <v>1996</v>
      </c>
      <c r="BW72" s="22">
        <f>BZ72-BT72</f>
        <v>8982</v>
      </c>
      <c r="BX72" s="15">
        <f>(BW72/BV72-1)*100</f>
        <v>350</v>
      </c>
      <c r="BY72" s="22">
        <v>74360</v>
      </c>
      <c r="BZ72" s="22">
        <v>82025</v>
      </c>
      <c r="CA72" s="15">
        <f>(BZ72/BY72-1)*100</f>
        <v>10.307961269499732</v>
      </c>
      <c r="CB72" s="6"/>
    </row>
    <row r="73" spans="1:80" s="1" customFormat="1" ht="19.5" customHeight="1">
      <c r="A73" s="169"/>
      <c r="B73" s="171"/>
      <c r="C73" s="33" t="s">
        <v>104</v>
      </c>
      <c r="D73" s="17">
        <v>552082</v>
      </c>
      <c r="E73" s="17">
        <v>964474</v>
      </c>
      <c r="F73" s="17">
        <v>1710500</v>
      </c>
      <c r="G73" s="17">
        <v>1648473</v>
      </c>
      <c r="H73" s="17">
        <v>19000</v>
      </c>
      <c r="I73" s="17">
        <v>3224655</v>
      </c>
      <c r="J73" s="17">
        <v>1461020</v>
      </c>
      <c r="K73" s="17">
        <v>198331</v>
      </c>
      <c r="L73" s="17">
        <v>185310</v>
      </c>
      <c r="M73" s="44">
        <f>(L73/K73-1)*100</f>
        <v>-6.5652873227080022</v>
      </c>
      <c r="N73" s="14">
        <f>Q73-K73</f>
        <v>36190</v>
      </c>
      <c r="O73" s="14">
        <f>R73-L73</f>
        <v>182688</v>
      </c>
      <c r="P73" s="18">
        <f>(O73/N73-1)*100</f>
        <v>404.80243161094228</v>
      </c>
      <c r="Q73" s="17">
        <v>234521</v>
      </c>
      <c r="R73" s="17">
        <v>367998</v>
      </c>
      <c r="S73" s="18">
        <f>(R73/Q73-1)*100</f>
        <v>56.914732582583213</v>
      </c>
      <c r="T73" s="14">
        <f>W73-Q73</f>
        <v>278270</v>
      </c>
      <c r="U73" s="14">
        <f>X73-R73</f>
        <v>154975</v>
      </c>
      <c r="V73" s="18">
        <f>(U73/T73-1)*100</f>
        <v>-44.307686779027563</v>
      </c>
      <c r="W73" s="17">
        <v>512791</v>
      </c>
      <c r="X73" s="17">
        <v>522973</v>
      </c>
      <c r="Y73" s="18">
        <f>(X73/W73-1)*100</f>
        <v>1.9856042715258315</v>
      </c>
      <c r="Z73" s="14">
        <f>AC73-W73</f>
        <v>155199</v>
      </c>
      <c r="AA73" s="14">
        <f>AD73-X73</f>
        <v>5696</v>
      </c>
      <c r="AB73" s="18">
        <f>(AA73/Z73-1)*100</f>
        <v>-96.329873259492643</v>
      </c>
      <c r="AC73" s="17">
        <v>667990</v>
      </c>
      <c r="AD73" s="17">
        <v>528669</v>
      </c>
      <c r="AE73" s="18">
        <f>(AD73/AC73-1)*100</f>
        <v>-20.856749352535221</v>
      </c>
      <c r="AF73" s="14">
        <f>AI73-AC73</f>
        <v>158005</v>
      </c>
      <c r="AG73" s="14">
        <f>AJ73-AD73</f>
        <v>32218</v>
      </c>
      <c r="AH73" s="18">
        <f>(AG73/AF73-1)*100</f>
        <v>-79.609506028290241</v>
      </c>
      <c r="AI73" s="17">
        <v>825995</v>
      </c>
      <c r="AJ73" s="17">
        <v>560887</v>
      </c>
      <c r="AK73" s="18">
        <f>(AJ73/AI73-1)*100</f>
        <v>-32.095593798993939</v>
      </c>
      <c r="AL73" s="14">
        <f>AO73-AI73</f>
        <v>153120</v>
      </c>
      <c r="AM73" s="14">
        <f>AP73-AJ73</f>
        <v>276799</v>
      </c>
      <c r="AN73" s="18">
        <f>(AM73/AL73-1)*100</f>
        <v>80.772596656217345</v>
      </c>
      <c r="AO73" s="17">
        <v>979115</v>
      </c>
      <c r="AP73" s="17">
        <v>837686</v>
      </c>
      <c r="AQ73" s="18">
        <f>(AP73/AO73-1)*100</f>
        <v>-14.444574947784483</v>
      </c>
      <c r="AR73" s="14">
        <f>AU73-AO73</f>
        <v>106103</v>
      </c>
      <c r="AS73" s="14">
        <f>AV73-AP73</f>
        <v>156705</v>
      </c>
      <c r="AT73" s="18">
        <f>(AS73/AR73-1)*100</f>
        <v>47.691394211285257</v>
      </c>
      <c r="AU73" s="17">
        <v>1085218</v>
      </c>
      <c r="AV73" s="17">
        <v>994391</v>
      </c>
      <c r="AW73" s="18">
        <f>(AV73/AU73-1)*100</f>
        <v>-8.3694704658418893</v>
      </c>
      <c r="AX73" s="14">
        <f>BA73-AU73</f>
        <v>0</v>
      </c>
      <c r="AY73" s="14">
        <f>BB73-AV73</f>
        <v>176</v>
      </c>
      <c r="AZ73" s="18" t="e">
        <f>(AY73/AX73-1)*100</f>
        <v>#DIV/0!</v>
      </c>
      <c r="BA73" s="17">
        <v>1085218</v>
      </c>
      <c r="BB73" s="17">
        <v>994567</v>
      </c>
      <c r="BC73" s="18">
        <f>(BB73/BA73-1)*100</f>
        <v>-8.3532525262205333</v>
      </c>
      <c r="BD73" s="14">
        <f>BG73-BA73</f>
        <v>115781</v>
      </c>
      <c r="BE73" s="14">
        <f>BH73-BB73</f>
        <v>182952</v>
      </c>
      <c r="BF73" s="18">
        <f>(BE73/BD73-1)*100</f>
        <v>58.015563866264763</v>
      </c>
      <c r="BG73" s="17">
        <v>1200999</v>
      </c>
      <c r="BH73" s="17">
        <v>1177519</v>
      </c>
      <c r="BI73" s="18">
        <f>(BH73/BG73-1)*100</f>
        <v>-1.955039096618727</v>
      </c>
      <c r="BJ73" s="14">
        <f>BM73-BG73</f>
        <v>799</v>
      </c>
      <c r="BK73" s="14">
        <f>BN73-BH73</f>
        <v>0</v>
      </c>
      <c r="BL73" s="18">
        <f>(BK73/BJ73-1)*100</f>
        <v>-100</v>
      </c>
      <c r="BM73" s="17">
        <v>1201798</v>
      </c>
      <c r="BN73" s="17">
        <v>1177519</v>
      </c>
      <c r="BO73" s="18">
        <f>(BN73/BM73-1)*100</f>
        <v>-2.0202230324896542</v>
      </c>
      <c r="BP73" s="14">
        <f>BS73-BM73</f>
        <v>106102</v>
      </c>
      <c r="BQ73" s="14">
        <f>BT73-BN73</f>
        <v>209004</v>
      </c>
      <c r="BR73" s="18">
        <f>(BQ73/BP73-1)*100</f>
        <v>96.984034231211467</v>
      </c>
      <c r="BS73" s="17">
        <v>1307900</v>
      </c>
      <c r="BT73" s="17">
        <v>1386523</v>
      </c>
      <c r="BU73" s="18">
        <f>(BT73/BS73-1)*100</f>
        <v>6.0113923082804499</v>
      </c>
      <c r="BV73" s="14">
        <f>BY73-BS73</f>
        <v>153120</v>
      </c>
      <c r="BW73" s="14">
        <f>BZ73-BT73</f>
        <v>698937</v>
      </c>
      <c r="BX73" s="18">
        <f>(BW73/BV73-1)*100</f>
        <v>356.46355799373043</v>
      </c>
      <c r="BY73" s="17">
        <v>1461020</v>
      </c>
      <c r="BZ73" s="17">
        <v>2085460</v>
      </c>
      <c r="CA73" s="18">
        <f>(BZ73/BY73-1)*100</f>
        <v>42.740003559157302</v>
      </c>
      <c r="CB73" s="6"/>
    </row>
    <row r="74" spans="1:80" s="1" customFormat="1" ht="19.5" customHeight="1" thickBot="1">
      <c r="A74" s="169"/>
      <c r="B74" s="171"/>
      <c r="C74" s="34" t="s">
        <v>105</v>
      </c>
      <c r="D74" s="19">
        <f t="shared" ref="D74:L74" si="461">D73/D72</f>
        <v>91.298495121547873</v>
      </c>
      <c r="E74" s="19">
        <f t="shared" si="461"/>
        <v>91.46268373636795</v>
      </c>
      <c r="F74" s="19">
        <f t="shared" si="461"/>
        <v>100.8192856300837</v>
      </c>
      <c r="G74" s="19">
        <f t="shared" si="461"/>
        <v>82.263236688457511</v>
      </c>
      <c r="H74" s="20">
        <f>H73/H72</f>
        <v>380</v>
      </c>
      <c r="I74" s="20">
        <f>I73/I72</f>
        <v>17.225445105046393</v>
      </c>
      <c r="J74" s="20">
        <f>J73/J72</f>
        <v>19.647928994082839</v>
      </c>
      <c r="K74" s="20">
        <f t="shared" si="461"/>
        <v>8.2541618112202428</v>
      </c>
      <c r="L74" s="20">
        <f t="shared" si="461"/>
        <v>10.412429061077709</v>
      </c>
      <c r="M74" s="46"/>
      <c r="N74" s="20">
        <f>N73/N72</f>
        <v>3.0314960629921259</v>
      </c>
      <c r="O74" s="20">
        <f>O73/O72</f>
        <v>79.567944250871079</v>
      </c>
      <c r="P74" s="47"/>
      <c r="Q74" s="20">
        <f>Q73/Q72</f>
        <v>6.5206305955624755</v>
      </c>
      <c r="R74" s="20">
        <f>R73/R72</f>
        <v>18.314736475389438</v>
      </c>
      <c r="S74" s="47"/>
      <c r="T74" s="20">
        <f>T73/T72</f>
        <v>19.198978887815649</v>
      </c>
      <c r="U74" s="20">
        <f>U73/U72</f>
        <v>76.644411473788324</v>
      </c>
      <c r="V74" s="47"/>
      <c r="W74" s="20">
        <f>W73/W72</f>
        <v>10.162326595323028</v>
      </c>
      <c r="X74" s="20">
        <f>X73/X72</f>
        <v>23.647886050192177</v>
      </c>
      <c r="Y74" s="47"/>
      <c r="Z74" s="20">
        <f>Z73/Z72</f>
        <v>74.045324427480921</v>
      </c>
      <c r="AA74" s="20">
        <f>AA73/AA72</f>
        <v>111.68627450980392</v>
      </c>
      <c r="AB74" s="47"/>
      <c r="AC74" s="20">
        <f>AC73/AC72</f>
        <v>12.710061648527285</v>
      </c>
      <c r="AD74" s="20">
        <f>AD73/AD72</f>
        <v>23.850446629973835</v>
      </c>
      <c r="AE74" s="47"/>
      <c r="AF74" s="20">
        <f>AF73/AF72</f>
        <v>77.226295210166171</v>
      </c>
      <c r="AG74" s="20">
        <f>AG73/AG72</f>
        <v>100.36760124610592</v>
      </c>
      <c r="AH74" s="47"/>
      <c r="AI74" s="20">
        <f>AI73/AI72</f>
        <v>15.127559430057508</v>
      </c>
      <c r="AJ74" s="20">
        <f>AJ73/AJ72</f>
        <v>24.942722461866857</v>
      </c>
      <c r="AK74" s="47"/>
      <c r="AL74" s="20">
        <f>AL73/AL72</f>
        <v>76.713426853707418</v>
      </c>
      <c r="AM74" s="20">
        <f>AM73/AM72</f>
        <v>30.43084872471416</v>
      </c>
      <c r="AN74" s="47"/>
      <c r="AO74" s="20">
        <f>AO73/AO72</f>
        <v>17.299462878546944</v>
      </c>
      <c r="AP74" s="20">
        <f>AP73/AP72</f>
        <v>26.523319507329894</v>
      </c>
      <c r="AQ74" s="47"/>
      <c r="AR74" s="20">
        <f>AR73/AR72</f>
        <v>81.74345146379045</v>
      </c>
      <c r="AS74" s="20">
        <f>AS73/AS72</f>
        <v>76.590909090909093</v>
      </c>
      <c r="AT74" s="47"/>
      <c r="AU74" s="20">
        <f>AU73/AU72</f>
        <v>18.74426557966008</v>
      </c>
      <c r="AV74" s="20">
        <f>AV73/AV72</f>
        <v>29.569448987481042</v>
      </c>
      <c r="AW74" s="47"/>
      <c r="AX74" s="20" t="e">
        <f>AX73/AX72</f>
        <v>#DIV/0!</v>
      </c>
      <c r="AY74" s="20">
        <f>AY73/AY72</f>
        <v>176</v>
      </c>
      <c r="AZ74" s="47"/>
      <c r="BA74" s="20">
        <f>BA73/BA72</f>
        <v>18.74426557966008</v>
      </c>
      <c r="BB74" s="20">
        <f>BB73/BB72</f>
        <v>29.573803151947665</v>
      </c>
      <c r="BC74" s="47"/>
      <c r="BD74" s="20">
        <f>BD73/BD72</f>
        <v>8.8180502665651179</v>
      </c>
      <c r="BE74" s="20">
        <f>BE73/BE72</f>
        <v>9.7522388059701495</v>
      </c>
      <c r="BF74" s="47"/>
      <c r="BG74" s="20">
        <f>BG73/BG72</f>
        <v>16.909286740067017</v>
      </c>
      <c r="BH74" s="20">
        <f>BH73/BH72</f>
        <v>22.476025959152508</v>
      </c>
      <c r="BI74" s="47"/>
      <c r="BJ74" s="20">
        <f>BJ73/BJ72</f>
        <v>19.975000000000001</v>
      </c>
      <c r="BK74" s="20" t="e">
        <f>BK73/BK72</f>
        <v>#DIV/0!</v>
      </c>
      <c r="BL74" s="47"/>
      <c r="BM74" s="20">
        <f>BM73/BM72</f>
        <v>16.911012298426815</v>
      </c>
      <c r="BN74" s="20">
        <f>BN73/BN72</f>
        <v>22.476025959152508</v>
      </c>
      <c r="BO74" s="47"/>
      <c r="BP74" s="20">
        <f>BP73/BP72</f>
        <v>81.742681047765799</v>
      </c>
      <c r="BQ74" s="20">
        <f>BQ73/BQ72</f>
        <v>10.119788892654821</v>
      </c>
      <c r="BR74" s="47"/>
      <c r="BS74" s="20">
        <f>BS73/BS72</f>
        <v>18.073904151235421</v>
      </c>
      <c r="BT74" s="20">
        <f>BT73/BT72</f>
        <v>18.982284407814575</v>
      </c>
      <c r="BU74" s="47"/>
      <c r="BV74" s="20">
        <f>BV73/BV72</f>
        <v>76.713426853707418</v>
      </c>
      <c r="BW74" s="20">
        <f>BW73/BW72</f>
        <v>77.815297261189045</v>
      </c>
      <c r="BX74" s="47"/>
      <c r="BY74" s="20">
        <f>BY73/BY72</f>
        <v>19.647928994082839</v>
      </c>
      <c r="BZ74" s="20">
        <f>BZ73/BZ72</f>
        <v>25.424687595245352</v>
      </c>
      <c r="CA74" s="47"/>
      <c r="CB74" s="6"/>
    </row>
    <row r="75" spans="1:80" s="1" customFormat="1" ht="19.5" customHeight="1">
      <c r="A75" s="169" t="s">
        <v>87</v>
      </c>
      <c r="B75" s="171" t="s">
        <v>80</v>
      </c>
      <c r="C75" s="32" t="s">
        <v>42</v>
      </c>
      <c r="D75" s="22">
        <v>376165</v>
      </c>
      <c r="E75" s="22">
        <v>661350</v>
      </c>
      <c r="F75" s="22">
        <v>514378</v>
      </c>
      <c r="G75" s="22">
        <v>257504</v>
      </c>
      <c r="H75" s="22">
        <v>411569</v>
      </c>
      <c r="I75" s="22">
        <v>589305</v>
      </c>
      <c r="J75" s="22">
        <v>468304</v>
      </c>
      <c r="K75" s="22">
        <v>53076</v>
      </c>
      <c r="L75" s="22">
        <v>20013</v>
      </c>
      <c r="M75" s="43">
        <f>(L75/K75-1)*100</f>
        <v>-62.293692064209807</v>
      </c>
      <c r="N75" s="23">
        <f>Q75-K75</f>
        <v>30027</v>
      </c>
      <c r="O75" s="22">
        <f>R75-L75</f>
        <v>63793</v>
      </c>
      <c r="P75" s="15">
        <f>(O75/N75-1)*100</f>
        <v>112.45212641955575</v>
      </c>
      <c r="Q75" s="22">
        <v>83103</v>
      </c>
      <c r="R75" s="22">
        <v>83806</v>
      </c>
      <c r="S75" s="15">
        <f>(R75/Q75-1)*100</f>
        <v>0.84593817311047204</v>
      </c>
      <c r="T75" s="23">
        <f>W75-Q75</f>
        <v>36139</v>
      </c>
      <c r="U75" s="22">
        <f>X75-R75</f>
        <v>28709</v>
      </c>
      <c r="V75" s="15">
        <f>(U75/T75-1)*100</f>
        <v>-20.559506350480095</v>
      </c>
      <c r="W75" s="22">
        <v>119242</v>
      </c>
      <c r="X75" s="22">
        <v>112515</v>
      </c>
      <c r="Y75" s="15">
        <f>(X75/W75-1)*100</f>
        <v>-5.6414686100535016</v>
      </c>
      <c r="Z75" s="23">
        <f>AC75-W75</f>
        <v>53942</v>
      </c>
      <c r="AA75" s="22">
        <f>AD75-X75</f>
        <v>33001</v>
      </c>
      <c r="AB75" s="15">
        <f>(AA75/Z75-1)*100</f>
        <v>-38.821326610062656</v>
      </c>
      <c r="AC75" s="22">
        <v>173184</v>
      </c>
      <c r="AD75" s="22">
        <v>145516</v>
      </c>
      <c r="AE75" s="15">
        <f>(AD75/AC75-1)*100</f>
        <v>-15.976071692535109</v>
      </c>
      <c r="AF75" s="23">
        <f>AI75-AC75</f>
        <v>47835</v>
      </c>
      <c r="AG75" s="22">
        <f>AJ75-AD75</f>
        <v>26018</v>
      </c>
      <c r="AH75" s="15">
        <f>(AG75/AF75-1)*100</f>
        <v>-45.608863802654966</v>
      </c>
      <c r="AI75" s="22">
        <v>221019</v>
      </c>
      <c r="AJ75" s="22">
        <v>171534</v>
      </c>
      <c r="AK75" s="15">
        <f>(AJ75/AI75-1)*100</f>
        <v>-22.389477827698066</v>
      </c>
      <c r="AL75" s="23">
        <f>AO75-AI75</f>
        <v>45803</v>
      </c>
      <c r="AM75" s="22">
        <f>AP75-AJ75</f>
        <v>26006</v>
      </c>
      <c r="AN75" s="15">
        <f>(AM75/AL75-1)*100</f>
        <v>-43.222059690413296</v>
      </c>
      <c r="AO75" s="22">
        <v>266822</v>
      </c>
      <c r="AP75" s="22">
        <v>197540</v>
      </c>
      <c r="AQ75" s="15">
        <f>(AP75/AO75-1)*100</f>
        <v>-25.965625023423854</v>
      </c>
      <c r="AR75" s="23">
        <f>AU75-AO75</f>
        <v>39404</v>
      </c>
      <c r="AS75" s="22">
        <f>AV75-AP75</f>
        <v>25006</v>
      </c>
      <c r="AT75" s="15">
        <f>(AS75/AR75-1)*100</f>
        <v>-36.539437620546131</v>
      </c>
      <c r="AU75" s="22">
        <v>306226</v>
      </c>
      <c r="AV75" s="22">
        <v>222546</v>
      </c>
      <c r="AW75" s="15">
        <f>(AV75/AU75-1)*100</f>
        <v>-27.32622311626054</v>
      </c>
      <c r="AX75" s="23">
        <f>BA75-AU75</f>
        <v>26001</v>
      </c>
      <c r="AY75" s="22">
        <f>BB75-AV75</f>
        <v>18005</v>
      </c>
      <c r="AZ75" s="15">
        <f>(AY75/AX75-1)*100</f>
        <v>-30.752663359101572</v>
      </c>
      <c r="BA75" s="22">
        <v>332227</v>
      </c>
      <c r="BB75" s="22">
        <v>240551</v>
      </c>
      <c r="BC75" s="15">
        <f>(BB75/BA75-1)*100</f>
        <v>-27.594385766358542</v>
      </c>
      <c r="BD75" s="23">
        <f>BG75-BA75</f>
        <v>28004</v>
      </c>
      <c r="BE75" s="22">
        <f>BH75-BB75</f>
        <v>28005</v>
      </c>
      <c r="BF75" s="15">
        <f>(BE75/BD75-1)*100</f>
        <v>3.5709184402321625E-3</v>
      </c>
      <c r="BG75" s="22">
        <v>360231</v>
      </c>
      <c r="BH75" s="22">
        <v>268556</v>
      </c>
      <c r="BI75" s="15">
        <f>(BH75/BG75-1)*100</f>
        <v>-25.448948036121266</v>
      </c>
      <c r="BJ75" s="23">
        <f>BM75-BG75</f>
        <v>55915</v>
      </c>
      <c r="BK75" s="22">
        <f>BN75-BH75</f>
        <v>32011</v>
      </c>
      <c r="BL75" s="15">
        <f>(BK75/BJ75-1)*100</f>
        <v>-42.750603594742017</v>
      </c>
      <c r="BM75" s="22">
        <v>416146</v>
      </c>
      <c r="BN75" s="22">
        <v>300567</v>
      </c>
      <c r="BO75" s="15">
        <f>(BN75/BM75-1)*100</f>
        <v>-27.773665972999861</v>
      </c>
      <c r="BP75" s="23">
        <f>BS75-BM75</f>
        <v>31157</v>
      </c>
      <c r="BQ75" s="22">
        <f>BT75-BN75</f>
        <v>42004</v>
      </c>
      <c r="BR75" s="15">
        <f>(BQ75/BP75-1)*100</f>
        <v>34.814006483294293</v>
      </c>
      <c r="BS75" s="22">
        <v>447303</v>
      </c>
      <c r="BT75" s="22">
        <v>342571</v>
      </c>
      <c r="BU75" s="15">
        <f>(BT75/BS75-1)*100</f>
        <v>-23.414106321665628</v>
      </c>
      <c r="BV75" s="23">
        <f>BY75-BS75</f>
        <v>21001</v>
      </c>
      <c r="BW75" s="22">
        <f>BZ75-BT75</f>
        <v>60044</v>
      </c>
      <c r="BX75" s="15">
        <f>(BW75/BV75-1)*100</f>
        <v>185.91019475263084</v>
      </c>
      <c r="BY75" s="22">
        <v>468304</v>
      </c>
      <c r="BZ75" s="22">
        <v>402615</v>
      </c>
      <c r="CA75" s="15">
        <f>(BZ75/BY75-1)*100</f>
        <v>-14.026999555844066</v>
      </c>
      <c r="CB75" s="6"/>
    </row>
    <row r="76" spans="1:80" s="1" customFormat="1" ht="19.5" customHeight="1">
      <c r="A76" s="169"/>
      <c r="B76" s="171"/>
      <c r="C76" s="33" t="s">
        <v>104</v>
      </c>
      <c r="D76" s="17">
        <v>3214893</v>
      </c>
      <c r="E76" s="17">
        <v>6282781</v>
      </c>
      <c r="F76" s="17">
        <v>2100956</v>
      </c>
      <c r="G76" s="17">
        <v>697084</v>
      </c>
      <c r="H76" s="17">
        <v>1782894</v>
      </c>
      <c r="I76" s="17">
        <v>1774477</v>
      </c>
      <c r="J76" s="17">
        <v>1458617</v>
      </c>
      <c r="K76" s="17">
        <v>70037</v>
      </c>
      <c r="L76" s="17">
        <v>29207</v>
      </c>
      <c r="M76" s="44">
        <f>(L76/K76-1)*100</f>
        <v>-58.297756899924323</v>
      </c>
      <c r="N76" s="14">
        <f>Q76-K76</f>
        <v>62484</v>
      </c>
      <c r="O76" s="14">
        <f>R76-L76</f>
        <v>135263</v>
      </c>
      <c r="P76" s="18">
        <f>(O76/N76-1)*100</f>
        <v>116.4762179117854</v>
      </c>
      <c r="Q76" s="17">
        <v>132521</v>
      </c>
      <c r="R76" s="17">
        <v>164470</v>
      </c>
      <c r="S76" s="18">
        <f>(R76/Q76-1)*100</f>
        <v>24.108631839482044</v>
      </c>
      <c r="T76" s="14">
        <f>W76-Q76</f>
        <v>562096</v>
      </c>
      <c r="U76" s="14">
        <f>X76-R76</f>
        <v>50166</v>
      </c>
      <c r="V76" s="18">
        <f>(U76/T76-1)*100</f>
        <v>-91.075190003131141</v>
      </c>
      <c r="W76" s="17">
        <v>694617</v>
      </c>
      <c r="X76" s="17">
        <v>214636</v>
      </c>
      <c r="Y76" s="18">
        <f>(X76/W76-1)*100</f>
        <v>-69.100094008640738</v>
      </c>
      <c r="Z76" s="14">
        <f>AC76-W76</f>
        <v>234773</v>
      </c>
      <c r="AA76" s="14">
        <f>AD76-X76</f>
        <v>32618</v>
      </c>
      <c r="AB76" s="18">
        <f>(AA76/Z76-1)*100</f>
        <v>-86.106579547051837</v>
      </c>
      <c r="AC76" s="17">
        <v>929390</v>
      </c>
      <c r="AD76" s="17">
        <v>247254</v>
      </c>
      <c r="AE76" s="18">
        <f>(AD76/AC76-1)*100</f>
        <v>-73.396098516231078</v>
      </c>
      <c r="AF76" s="14">
        <f>AI76-AC76</f>
        <v>91026</v>
      </c>
      <c r="AG76" s="14">
        <f>AJ76-AD76</f>
        <v>32286</v>
      </c>
      <c r="AH76" s="18">
        <f>(AG76/AF76-1)*100</f>
        <v>-64.531013117131366</v>
      </c>
      <c r="AI76" s="17">
        <v>1020416</v>
      </c>
      <c r="AJ76" s="17">
        <v>279540</v>
      </c>
      <c r="AK76" s="18">
        <f>(AJ76/AI76-1)*100</f>
        <v>-72.605290391369792</v>
      </c>
      <c r="AL76" s="14">
        <f>AO76-AI76</f>
        <v>82810</v>
      </c>
      <c r="AM76" s="14">
        <f>AP76-AJ76</f>
        <v>41103</v>
      </c>
      <c r="AN76" s="18">
        <f>(AM76/AL76-1)*100</f>
        <v>-50.364690254800152</v>
      </c>
      <c r="AO76" s="17">
        <v>1103226</v>
      </c>
      <c r="AP76" s="17">
        <v>320643</v>
      </c>
      <c r="AQ76" s="18">
        <f>(AP76/AO76-1)*100</f>
        <v>-70.935873520022199</v>
      </c>
      <c r="AR76" s="14">
        <f>AU76-AO76</f>
        <v>153645</v>
      </c>
      <c r="AS76" s="14">
        <f>AV76-AP76</f>
        <v>29937</v>
      </c>
      <c r="AT76" s="18">
        <f>(AS76/AR76-1)*100</f>
        <v>-80.515473982231768</v>
      </c>
      <c r="AU76" s="17">
        <v>1256871</v>
      </c>
      <c r="AV76" s="17">
        <v>350580</v>
      </c>
      <c r="AW76" s="18">
        <f>(AV76/AU76-1)*100</f>
        <v>-72.106922667481385</v>
      </c>
      <c r="AX76" s="14">
        <f>BA76-AU76</f>
        <v>24930</v>
      </c>
      <c r="AY76" s="14">
        <f>BB76-AV76</f>
        <v>20819</v>
      </c>
      <c r="AZ76" s="18">
        <f>(AY76/AX76-1)*100</f>
        <v>-16.490172482952271</v>
      </c>
      <c r="BA76" s="17">
        <v>1281801</v>
      </c>
      <c r="BB76" s="17">
        <v>371399</v>
      </c>
      <c r="BC76" s="18">
        <f>(BB76/BA76-1)*100</f>
        <v>-71.02522154374978</v>
      </c>
      <c r="BD76" s="14">
        <f>BG76-BA76</f>
        <v>30503</v>
      </c>
      <c r="BE76" s="14">
        <f>BH76-BB76</f>
        <v>34509</v>
      </c>
      <c r="BF76" s="18">
        <f>(BE76/BD76-1)*100</f>
        <v>13.133134445792226</v>
      </c>
      <c r="BG76" s="17">
        <v>1312304</v>
      </c>
      <c r="BH76" s="17">
        <v>405908</v>
      </c>
      <c r="BI76" s="18">
        <f>(BH76/BG76-1)*100</f>
        <v>-69.069057169680192</v>
      </c>
      <c r="BJ76" s="14">
        <f>BM76-BG76</f>
        <v>81459</v>
      </c>
      <c r="BK76" s="14">
        <f>BN76-BH76</f>
        <v>40206</v>
      </c>
      <c r="BL76" s="18">
        <f>(BK76/BJ76-1)*100</f>
        <v>-50.642654586970124</v>
      </c>
      <c r="BM76" s="17">
        <v>1393763</v>
      </c>
      <c r="BN76" s="17">
        <v>446114</v>
      </c>
      <c r="BO76" s="18">
        <f>(BN76/BM76-1)*100</f>
        <v>-67.992119176646241</v>
      </c>
      <c r="BP76" s="14">
        <f>BS76-BM76</f>
        <v>43918</v>
      </c>
      <c r="BQ76" s="14">
        <f>BT76-BN76</f>
        <v>44109</v>
      </c>
      <c r="BR76" s="18">
        <f>(BQ76/BP76-1)*100</f>
        <v>0.43490140716790915</v>
      </c>
      <c r="BS76" s="17">
        <v>1437681</v>
      </c>
      <c r="BT76" s="17">
        <v>490223</v>
      </c>
      <c r="BU76" s="18">
        <f>(BT76/BS76-1)*100</f>
        <v>-65.901823839919984</v>
      </c>
      <c r="BV76" s="14">
        <f>BY76-BS76</f>
        <v>20936</v>
      </c>
      <c r="BW76" s="14">
        <f>BZ76-BT76</f>
        <v>59100</v>
      </c>
      <c r="BX76" s="18">
        <f>(BW76/BV76-1)*100</f>
        <v>182.28888039740161</v>
      </c>
      <c r="BY76" s="17">
        <v>1458617</v>
      </c>
      <c r="BZ76" s="17">
        <v>549323</v>
      </c>
      <c r="CA76" s="18">
        <f>(BZ76/BY76-1)*100</f>
        <v>-62.339462655378355</v>
      </c>
      <c r="CB76" s="6"/>
    </row>
    <row r="77" spans="1:80" s="1" customFormat="1" ht="19.5" customHeight="1" thickBot="1">
      <c r="A77" s="170"/>
      <c r="B77" s="172"/>
      <c r="C77" s="35" t="s">
        <v>105</v>
      </c>
      <c r="D77" s="25">
        <f t="shared" ref="D77:L77" si="462">D76/D75</f>
        <v>8.5464968830167614</v>
      </c>
      <c r="E77" s="25">
        <f t="shared" si="462"/>
        <v>9.4999334694186128</v>
      </c>
      <c r="F77" s="25">
        <f t="shared" si="462"/>
        <v>4.0844592886943065</v>
      </c>
      <c r="G77" s="25">
        <f t="shared" si="462"/>
        <v>2.7070802783646077</v>
      </c>
      <c r="H77" s="26">
        <f>H76/H75</f>
        <v>4.3319443398312316</v>
      </c>
      <c r="I77" s="26">
        <f>I76/I75</f>
        <v>3.0111351507284003</v>
      </c>
      <c r="J77" s="26">
        <f>J76/J75</f>
        <v>3.114679780655301</v>
      </c>
      <c r="K77" s="26">
        <f t="shared" si="462"/>
        <v>1.3195606300399427</v>
      </c>
      <c r="L77" s="26">
        <f t="shared" si="462"/>
        <v>1.4594013890970869</v>
      </c>
      <c r="M77" s="56"/>
      <c r="N77" s="26">
        <f>N76/N75</f>
        <v>2.080927165551004</v>
      </c>
      <c r="O77" s="26">
        <f>O76/O75</f>
        <v>2.1203423573119307</v>
      </c>
      <c r="P77" s="27"/>
      <c r="Q77" s="26">
        <f>Q76/Q75</f>
        <v>1.5946596392428674</v>
      </c>
      <c r="R77" s="26">
        <f>R76/R75</f>
        <v>1.9625086509319143</v>
      </c>
      <c r="S77" s="27"/>
      <c r="T77" s="26">
        <f>T76/T75</f>
        <v>15.55372312460223</v>
      </c>
      <c r="U77" s="26">
        <f>U76/U75</f>
        <v>1.7473962868786792</v>
      </c>
      <c r="V77" s="27"/>
      <c r="W77" s="26">
        <f>W76/W75</f>
        <v>5.8252712970262159</v>
      </c>
      <c r="X77" s="26">
        <f>X76/X75</f>
        <v>1.9076212060614139</v>
      </c>
      <c r="Y77" s="27"/>
      <c r="Z77" s="26">
        <f>Z76/Z75</f>
        <v>4.3523228652997661</v>
      </c>
      <c r="AA77" s="26">
        <f>AA76/AA75</f>
        <v>0.98839429108208843</v>
      </c>
      <c r="AB77" s="27"/>
      <c r="AC77" s="26">
        <f>AC76/AC75</f>
        <v>5.3664888211382111</v>
      </c>
      <c r="AD77" s="26">
        <f>AD76/AD75</f>
        <v>1.6991533577063691</v>
      </c>
      <c r="AE77" s="27"/>
      <c r="AF77" s="26">
        <f>AF76/AF75</f>
        <v>1.9029162746942616</v>
      </c>
      <c r="AG77" s="26">
        <f>AG76/AG75</f>
        <v>1.2409101391344455</v>
      </c>
      <c r="AH77" s="27"/>
      <c r="AI77" s="26">
        <f>AI76/AI75</f>
        <v>4.6168700428469949</v>
      </c>
      <c r="AJ77" s="26">
        <f>AJ76/AJ75</f>
        <v>1.6296477666235265</v>
      </c>
      <c r="AK77" s="27"/>
      <c r="AL77" s="26">
        <f>AL76/AL75</f>
        <v>1.8079601772809641</v>
      </c>
      <c r="AM77" s="26">
        <f>AM76/AM75</f>
        <v>1.5805198800276858</v>
      </c>
      <c r="AN77" s="27"/>
      <c r="AO77" s="26">
        <f>AO76/AO75</f>
        <v>4.1346890436320844</v>
      </c>
      <c r="AP77" s="26">
        <f>AP76/AP75</f>
        <v>1.6231801154196619</v>
      </c>
      <c r="AQ77" s="27"/>
      <c r="AR77" s="26">
        <f>AR76/AR75</f>
        <v>3.8992234290934928</v>
      </c>
      <c r="AS77" s="26">
        <f>AS76/AS75</f>
        <v>1.1971926737582981</v>
      </c>
      <c r="AT77" s="27"/>
      <c r="AU77" s="26">
        <f>AU76/AU75</f>
        <v>4.1043902216010402</v>
      </c>
      <c r="AV77" s="26">
        <f>AV76/AV75</f>
        <v>1.5753147663853766</v>
      </c>
      <c r="AW77" s="27"/>
      <c r="AX77" s="26">
        <f>AX76/AX75</f>
        <v>0.9588092765662859</v>
      </c>
      <c r="AY77" s="26">
        <f>AY76/AY75</f>
        <v>1.1562899194668148</v>
      </c>
      <c r="AZ77" s="27"/>
      <c r="BA77" s="26">
        <f>BA76/BA75</f>
        <v>3.8582083936585527</v>
      </c>
      <c r="BB77" s="26">
        <f>BB76/BB75</f>
        <v>1.543951178752115</v>
      </c>
      <c r="BC77" s="27"/>
      <c r="BD77" s="26">
        <f>BD76/BD75</f>
        <v>1.0892372518211684</v>
      </c>
      <c r="BE77" s="26">
        <f>BE76/BE75</f>
        <v>1.2322442420996251</v>
      </c>
      <c r="BF77" s="27"/>
      <c r="BG77" s="26">
        <f>BG76/BG75</f>
        <v>3.6429513284531314</v>
      </c>
      <c r="BH77" s="26">
        <f>BH76/BH75</f>
        <v>1.5114464022401286</v>
      </c>
      <c r="BI77" s="27"/>
      <c r="BJ77" s="26">
        <f>BJ76/BJ75</f>
        <v>1.4568362693373871</v>
      </c>
      <c r="BK77" s="26">
        <f>BK76/BK75</f>
        <v>1.2560057480241167</v>
      </c>
      <c r="BL77" s="27"/>
      <c r="BM77" s="26">
        <f>BM76/BM75</f>
        <v>3.3492163807894344</v>
      </c>
      <c r="BN77" s="26">
        <f>BN76/BN75</f>
        <v>1.4842414503255514</v>
      </c>
      <c r="BO77" s="27"/>
      <c r="BP77" s="26">
        <f>BP76/BP75</f>
        <v>1.4095708829476523</v>
      </c>
      <c r="BQ77" s="26">
        <f>BQ76/BQ75</f>
        <v>1.0501142748309684</v>
      </c>
      <c r="BR77" s="27"/>
      <c r="BS77" s="26">
        <f>BS76/BS75</f>
        <v>3.2141098986592982</v>
      </c>
      <c r="BT77" s="26">
        <f>BT76/BT75</f>
        <v>1.4310113815822121</v>
      </c>
      <c r="BU77" s="27"/>
      <c r="BV77" s="26">
        <f>BV76/BV75</f>
        <v>0.99690490929003384</v>
      </c>
      <c r="BW77" s="26">
        <f>BW76/BW75</f>
        <v>0.98427819598960764</v>
      </c>
      <c r="BX77" s="27"/>
      <c r="BY77" s="26">
        <f>BY76/BY75</f>
        <v>3.114679780655301</v>
      </c>
      <c r="BZ77" s="26">
        <f>BZ76/BZ75</f>
        <v>1.3643878146616495</v>
      </c>
      <c r="CA77" s="27"/>
      <c r="CB77" s="6"/>
    </row>
    <row r="78" spans="1:80" s="3" customFormat="1" ht="19.5" customHeight="1" thickTop="1">
      <c r="A78" s="127" t="s">
        <v>11</v>
      </c>
      <c r="B78" s="128"/>
      <c r="C78" s="5" t="s">
        <v>42</v>
      </c>
      <c r="D78" s="28">
        <f t="shared" ref="D78:L79" si="463">SUM(D6+D27+D30+D33+D36+D39+D42+D45+D48+D51+D54+D57+D60+D63+D66+D69+D72+D75)</f>
        <v>71074068</v>
      </c>
      <c r="E78" s="28">
        <f t="shared" si="463"/>
        <v>92926048</v>
      </c>
      <c r="F78" s="28">
        <f t="shared" si="463"/>
        <v>128515326</v>
      </c>
      <c r="G78" s="28">
        <f t="shared" si="463"/>
        <v>130379884</v>
      </c>
      <c r="H78" s="28">
        <f t="shared" ref="H78:J79" si="464">SUM(H6+H27+H30+H33+H36+H39+H42+H45+H48+H51+H54+H57+H60+H63+H66+H69+H72+H75)</f>
        <v>196465813</v>
      </c>
      <c r="I78" s="28">
        <f t="shared" si="464"/>
        <v>180304534</v>
      </c>
      <c r="J78" s="28">
        <f t="shared" si="464"/>
        <v>133683342</v>
      </c>
      <c r="K78" s="28">
        <f t="shared" si="463"/>
        <v>7780842</v>
      </c>
      <c r="L78" s="28">
        <f t="shared" si="463"/>
        <v>6319822</v>
      </c>
      <c r="M78" s="57">
        <f>(L78/K78-1)*100</f>
        <v>-18.777145198424538</v>
      </c>
      <c r="N78" s="28">
        <f>N15+N18+N21+N24+N27+N30+N33+N36+N39+N42+N45+N48+N51+N54+N57+N60+N63+N66+N69+N72+N75</f>
        <v>7423729</v>
      </c>
      <c r="O78" s="28">
        <f>O15+O18+O21+O24+O27+O30+O33+O36+O39+O42+O45+O48+O51+O54+O57+O60+O63+O66+O69+O72+O75</f>
        <v>9887142</v>
      </c>
      <c r="P78" s="58">
        <f>(O78/N78-1)*100</f>
        <v>33.182959668921107</v>
      </c>
      <c r="Q78" s="28">
        <f>SUM(Q6+Q27+Q30+Q33+Q36+Q39+Q42+Q45+Q48+Q51+Q54+Q57+Q60+Q63+Q66+Q69+Q72+Q75)</f>
        <v>15226379</v>
      </c>
      <c r="R78" s="28">
        <f>SUM(R6+R27+R30+R33+R36+R39+R42+R45+R48+R51+R54+R57+R60+R63+R66+R69+R72+R75)</f>
        <v>16206964</v>
      </c>
      <c r="S78" s="58">
        <f>(R78/Q78-1)*100</f>
        <v>6.4400406688944312</v>
      </c>
      <c r="T78" s="28">
        <f>T15+T18+T21+T24+T27+T30+T33+T36+T39+T42+T45+T48+T51+T54+T57+T60+T63+T66+T69+T72+T75</f>
        <v>16708147</v>
      </c>
      <c r="U78" s="28">
        <f>U15+U18+U21+U24+U27+U30+U33+U36+U39+U42+U45+U48+U51+U54+U57+U60+U63+U66+U69+U72+U75</f>
        <v>9829362</v>
      </c>
      <c r="V78" s="58">
        <f>(U78/T78-1)*100</f>
        <v>-41.170244671656285</v>
      </c>
      <c r="W78" s="28">
        <f>SUM(W6+W27+W30+W33+W36+W39+W42+W45+W48+W51+W54+W57+W60+W63+W66+W69+W72+W75)</f>
        <v>31972546</v>
      </c>
      <c r="X78" s="28">
        <f>SUM(X6+X27+X30+X33+X36+X39+X42+X45+X48+X51+X54+X57+X60+X63+X66+X69+X72+X75)</f>
        <v>26036326</v>
      </c>
      <c r="Y78" s="58">
        <f>(X78/W78-1)*100</f>
        <v>-18.566616496540501</v>
      </c>
      <c r="Z78" s="28">
        <f>Z15+Z18+Z21+Z24+Z27+Z30+Z33+Z36+Z39+Z42+Z45+Z48+Z51+Z54+Z57+Z60+Z63+Z66+Z69+Z72+Z75</f>
        <v>12429111</v>
      </c>
      <c r="AA78" s="28">
        <f>AA15+AA18+AA21+AA24+AA27+AA30+AA33+AA36+AA39+AA42+AA45+AA48+AA51+AA54+AA57+AA60+AA63+AA66+AA69+AA72+AA75</f>
        <v>11049591</v>
      </c>
      <c r="AB78" s="58">
        <f>(AA78/Z78-1)*100</f>
        <v>-11.099104352676548</v>
      </c>
      <c r="AC78" s="28">
        <f>SUM(AC6+AC27+AC30+AC33+AC36+AC39+AC42+AC45+AC48+AC51+AC54+AC57+AC60+AC63+AC66+AC69+AC72+AC75)</f>
        <v>44432657</v>
      </c>
      <c r="AD78" s="28">
        <f>SUM(AD6+AD27+AD30+AD33+AD36+AD39+AD42+AD45+AD48+AD51+AD54+AD57+AD60+AD63+AD66+AD69+AD72+AD75)</f>
        <v>37085917</v>
      </c>
      <c r="AE78" s="58">
        <f>(AD78/AC78-1)*100</f>
        <v>-16.53455025208148</v>
      </c>
      <c r="AF78" s="28">
        <f>AF15+AF18+AF21+AF24+AF27+AF30+AF33+AF36+AF39+AF42+AF45+AF48+AF51+AF54+AF57+AF60+AF63+AF66+AF69+AF72+AF75</f>
        <v>10115479</v>
      </c>
      <c r="AG78" s="28">
        <f>AG15+AG18+AG21+AG24+AG27+AG30+AG33+AG36+AG39+AG42+AG45+AG48+AG51+AG54+AG57+AG60+AG63+AG66+AG69+AG72+AG75</f>
        <v>12926449</v>
      </c>
      <c r="AH78" s="58">
        <f>(AG78/AF78-1)*100</f>
        <v>27.788797742548809</v>
      </c>
      <c r="AI78" s="28">
        <f>SUM(AI6+AI27+AI30+AI33+AI36+AI39+AI42+AI45+AI48+AI51+AI54+AI57+AI60+AI63+AI66+AI69+AI72+AI75)</f>
        <v>54549136</v>
      </c>
      <c r="AJ78" s="28">
        <f>SUM(AJ6+AJ27+AJ30+AJ33+AJ36+AJ39+AJ42+AJ45+AJ48+AJ51+AJ54+AJ57+AJ60+AJ63+AJ66+AJ69+AJ72+AJ75)</f>
        <v>50012367</v>
      </c>
      <c r="AK78" s="58">
        <f>(AJ78/AI78-1)*100</f>
        <v>-8.3168485015051363</v>
      </c>
      <c r="AL78" s="28">
        <f>AL15+AL18+AL21+AL24+AL27+AL30+AL33+AL36+AL39+AL42+AL45+AL48+AL51+AL54+AL57+AL60+AL63+AL66+AL69+AL72+AL75</f>
        <v>15307999</v>
      </c>
      <c r="AM78" s="28">
        <f>AM15+AM18+AM21+AM24+AM27+AM30+AM33+AM36+AM39+AM42+AM45+AM48+AM51+AM54+AM57+AM60+AM63+AM66+AM69+AM72+AM75</f>
        <v>10475485</v>
      </c>
      <c r="AN78" s="58">
        <f>(AM78/AL78-1)*100</f>
        <v>-31.568554453132634</v>
      </c>
      <c r="AO78" s="28">
        <f>SUM(AO6+AO27+AO30+AO33+AO36+AO39+AO42+AO45+AO48+AO51+AO54+AO57+AO60+AO63+AO66+AO69+AO72+AO75)</f>
        <v>69857135</v>
      </c>
      <c r="AP78" s="28">
        <f>SUM(AP6+AP27+AP30+AP33+AP36+AP39+AP42+AP45+AP48+AP51+AP54+AP57+AP60+AP63+AP66+AP69+AP72+AP75)</f>
        <v>60487852</v>
      </c>
      <c r="AQ78" s="58">
        <f>(AP78/AO78-1)*100</f>
        <v>-13.41206306270648</v>
      </c>
      <c r="AR78" s="28">
        <f>AR15+AR18+AR21+AR24+AR27+AR30+AR33+AR36+AR39+AR42+AR45+AR48+AR51+AR54+AR57+AR60+AR63+AR66+AR69+AR72+AR75</f>
        <v>11737953</v>
      </c>
      <c r="AS78" s="28">
        <f>AS15+AS18+AS21+AS24+AS27+AS30+AS33+AS36+AS39+AS42+AS45+AS48+AS51+AS54+AS57+AS60+AS63+AS66+AS69+AS72+AS75</f>
        <v>13925693</v>
      </c>
      <c r="AT78" s="58">
        <f>(AS78/AR78-1)*100</f>
        <v>18.638173112466895</v>
      </c>
      <c r="AU78" s="28">
        <f>SUM(AU6+AU27+AU30+AU33+AU36+AU39+AU42+AU45+AU48+AU51+AU54+AU57+AU60+AU63+AU66+AU69+AU72+AU75)</f>
        <v>81595088</v>
      </c>
      <c r="AV78" s="28">
        <f>SUM(AV6+AV27+AV30+AV33+AV36+AV39+AV42+AV45+AV48+AV51+AV54+AV57+AV60+AV63+AV66+AV69+AV72+AV75)</f>
        <v>74413545</v>
      </c>
      <c r="AW78" s="58">
        <f>(AV78/AU78-1)*100</f>
        <v>-8.8014403514093846</v>
      </c>
      <c r="AX78" s="28">
        <f>AX15+AX18+AX21+AX24+AX27+AX30+AX33+AX36+AX39+AX42+AX45+AX48+AX51+AX54+AX57+AX60+AX63+AX66+AX69+AX72+AX75</f>
        <v>9137160</v>
      </c>
      <c r="AY78" s="28">
        <f>AY15+AY18+AY21+AY24+AY27+AY30+AY33+AY36+AY39+AY42+AY45+AY48+AY51+AY54+AY57+AY60+AY63+AY66+AY69+AY72+AY75</f>
        <v>13132226</v>
      </c>
      <c r="AZ78" s="58">
        <f>(AY78/AX78-1)*100</f>
        <v>43.72327944350323</v>
      </c>
      <c r="BA78" s="28">
        <f>SUM(BA6+BA27+BA30+BA33+BA36+BA39+BA42+BA45+BA48+BA51+BA54+BA57+BA60+BA63+BA66+BA69+BA72+BA75)</f>
        <v>90732248</v>
      </c>
      <c r="BB78" s="28">
        <f>SUM(BB6+BB27+BB30+BB33+BB36+BB39+BB42+BB45+BB48+BB51+BB54+BB57+BB60+BB63+BB66+BB69+BB72+BB75)</f>
        <v>87545771</v>
      </c>
      <c r="BC78" s="58">
        <f>(BB78/BA78-1)*100</f>
        <v>-3.511956410470507</v>
      </c>
      <c r="BD78" s="28">
        <f>BD15+BD18+BD21+BD24+BD27+BD30+BD33+BD36+BD39+BD42+BD45+BD48+BD51+BD54+BD57+BD60+BD63+BD66+BD69+BD72+BD75</f>
        <v>13302310</v>
      </c>
      <c r="BE78" s="28">
        <f>BE15+BE18+BE21+BE24+BE27+BE30+BE33+BE36+BE39+BE42+BE45+BE48+BE51+BE54+BE57+BE60+BE63+BE66+BE69+BE72+BE75</f>
        <v>7345176</v>
      </c>
      <c r="BF78" s="58">
        <f>(BE78/BD78-1)*100</f>
        <v>-44.782703154564885</v>
      </c>
      <c r="BG78" s="28">
        <f>SUM(BG6+BG27+BG30+BG33+BG36+BG39+BG42+BG45+BG48+BG51+BG54+BG57+BG60+BG63+BG66+BG69+BG72+BG75)</f>
        <v>104034558</v>
      </c>
      <c r="BH78" s="28">
        <f>SUM(BH6+BH27+BH30+BH33+BH36+BH39+BH42+BH45+BH48+BH51+BH54+BH57+BH60+BH63+BH66+BH69+BH72+BH75)</f>
        <v>94890952</v>
      </c>
      <c r="BI78" s="58">
        <f>(BH78/BG78-1)*100</f>
        <v>-8.7890083600874256</v>
      </c>
      <c r="BJ78" s="28">
        <f>BJ15+BJ18+BJ21+BJ24+BJ27+BJ30+BJ33+BJ36+BJ39+BJ42+BJ45+BJ48+BJ51+BJ54+BJ57+BJ60+BJ63+BJ66+BJ69+BJ72+BJ75</f>
        <v>7834471</v>
      </c>
      <c r="BK78" s="28">
        <f>BK15+BK18+BK21+BK24+BK27+BK30+BK33+BK36+BK39+BK42+BK45+BK48+BK51+BK54+BK57+BK60+BK63+BK66+BK69+BK72+BK75</f>
        <v>12700641</v>
      </c>
      <c r="BL78" s="58">
        <f>(BK78/BJ78-1)*100</f>
        <v>62.112298328757618</v>
      </c>
      <c r="BM78" s="28">
        <f>SUM(BM6+BM27+BM30+BM33+BM36+BM39+BM42+BM45+BM48+BM51+BM54+BM57+BM60+BM63+BM66+BM69+BM72+BM75)</f>
        <v>111869029</v>
      </c>
      <c r="BN78" s="28">
        <f>SUM(BN6+BN27+BN30+BN33+BN36+BN39+BN42+BN45+BN48+BN51+BN54+BN57+BN60+BN63+BN66+BN69+BN72+BN75)</f>
        <v>107591593</v>
      </c>
      <c r="BO78" s="58">
        <f>(BN78/BM78-1)*100</f>
        <v>-3.8236105544457666</v>
      </c>
      <c r="BP78" s="28">
        <f>BP15+BP18+BP21+BP24+BP27+BP30+BP33+BP36+BP39+BP42+BP45+BP48+BP51+BP54+BP57+BP60+BP63+BP66+BP69+BP72+BP75</f>
        <v>13334939</v>
      </c>
      <c r="BQ78" s="28">
        <f>BQ15+BQ18+BQ21+BQ24+BQ27+BQ30+BQ33+BQ36+BQ39+BQ42+BQ45+BQ48+BQ51+BQ54+BQ57+BQ60+BQ63+BQ66+BQ69+BQ72+BQ75</f>
        <v>11972850</v>
      </c>
      <c r="BR78" s="58">
        <f>(BQ78/BP78-1)*100</f>
        <v>-10.214437426372925</v>
      </c>
      <c r="BS78" s="28">
        <f>SUM(BS6+BS27+BS30+BS33+BS36+BS39+BS42+BS45+BS48+BS51+BS54+BS57+BS60+BS63+BS66+BS69+BS72+BS75)</f>
        <v>125203968</v>
      </c>
      <c r="BT78" s="28">
        <f>SUM(BT6+BT27+BT30+BT33+BT36+BT39+BT42+BT45+BT48+BT51+BT54+BT57+BT60+BT63+BT66+BT69+BT72+BT75)</f>
        <v>119564443</v>
      </c>
      <c r="BU78" s="58">
        <f>(BT78/BS78-1)*100</f>
        <v>-4.5042701841526256</v>
      </c>
      <c r="BV78" s="28">
        <f>BV15+BV18+BV21+BV24+BV27+BV30+BV33+BV36+BV39+BV42+BV45+BV48+BV51+BV54+BV57+BV60+BV63+BV66+BV69+BV72+BV75</f>
        <v>8479374</v>
      </c>
      <c r="BW78" s="28">
        <f>BW15+BW18+BW21+BW24+BW27+BW30+BW33+BW36+BW39+BW42+BW45+BW48+BW51+BW54+BW57+BW60+BW63+BW66+BW69+BW72+BW75</f>
        <v>9194405</v>
      </c>
      <c r="BX78" s="58">
        <f>(BW78/BV78-1)*100</f>
        <v>8.4325918399164923</v>
      </c>
      <c r="BY78" s="28">
        <f>SUM(BY6+BY27+BY30+BY33+BY36+BY39+BY42+BY45+BY48+BY51+BY54+BY57+BY60+BY63+BY66+BY69+BY72+BY75)</f>
        <v>133683342</v>
      </c>
      <c r="BZ78" s="28">
        <f>SUM(BZ6+BZ27+BZ30+BZ33+BZ36+BZ39+BZ42+BZ45+BZ48+BZ51+BZ54+BZ57+BZ60+BZ63+BZ66+BZ69+BZ72+BZ75)</f>
        <v>128758848</v>
      </c>
      <c r="CA78" s="58">
        <f>(BZ78/BY78-1)*100</f>
        <v>-3.6837005466245798</v>
      </c>
      <c r="CB78" s="6"/>
    </row>
    <row r="79" spans="1:80" s="3" customFormat="1" ht="19.5" customHeight="1">
      <c r="A79" s="129"/>
      <c r="B79" s="130"/>
      <c r="C79" s="4" t="s">
        <v>104</v>
      </c>
      <c r="D79" s="29">
        <f t="shared" si="463"/>
        <v>108401013</v>
      </c>
      <c r="E79" s="29">
        <f t="shared" si="463"/>
        <v>154811252</v>
      </c>
      <c r="F79" s="29">
        <f t="shared" si="463"/>
        <v>208986011</v>
      </c>
      <c r="G79" s="29">
        <f t="shared" si="463"/>
        <v>183887122</v>
      </c>
      <c r="H79" s="29">
        <f t="shared" si="464"/>
        <v>176389969</v>
      </c>
      <c r="I79" s="29">
        <f t="shared" si="464"/>
        <v>195836662</v>
      </c>
      <c r="J79" s="29">
        <f t="shared" si="464"/>
        <v>163278677</v>
      </c>
      <c r="K79" s="29">
        <f t="shared" si="463"/>
        <v>10466447</v>
      </c>
      <c r="L79" s="29">
        <f t="shared" si="463"/>
        <v>10909639</v>
      </c>
      <c r="M79" s="59">
        <f>(L79/K79-1)*100</f>
        <v>4.2344073399502191</v>
      </c>
      <c r="N79" s="29">
        <f>N16+N19+N22+N25+N28+N31+N34+N37+N40+N43+N46+N49+N52+N55+N58+N61+N64+N67+N70+N73+N76</f>
        <v>10861760</v>
      </c>
      <c r="O79" s="29">
        <f>O16+O19+O22+O25+O28+O31+O34+O37+O40+O43+O46+O49+O52+O55+O58+O61+O64+O67+O70+O73+O76</f>
        <v>11975674</v>
      </c>
      <c r="P79" s="60">
        <f>(O79/N79-1)*100</f>
        <v>10.255372978228205</v>
      </c>
      <c r="Q79" s="29">
        <f>SUM(Q7+Q28+Q31+Q34+Q37+Q40+Q43+Q46+Q49+Q52+Q55+Q58+Q61+Q64+Q67+Q70+Q73+Q76)</f>
        <v>22209810</v>
      </c>
      <c r="R79" s="29">
        <f>SUM(R7+R28+R31+R34+R37+R40+R43+R46+R49+R52+R55+R58+R61+R64+R67+R70+R73+R76)</f>
        <v>22885313</v>
      </c>
      <c r="S79" s="60">
        <f>(R79/Q79-1)*100</f>
        <v>3.0414623087725579</v>
      </c>
      <c r="T79" s="29">
        <f>T16+T19+T22+T25+T28+T31+T34+T37+T40+T43+T46+T49+T52+T55+T58+T61+T64+T67+T70+T73+T76</f>
        <v>18466482</v>
      </c>
      <c r="U79" s="29">
        <f>U16+U19+U22+U25+U28+U31+U34+U37+U40+U43+U46+U49+U52+U55+U58+U61+U64+U67+U70+U73+U76</f>
        <v>13131911</v>
      </c>
      <c r="V79" s="60">
        <f>(U79/T79-1)*100</f>
        <v>-28.887857470632472</v>
      </c>
      <c r="W79" s="29">
        <f>SUM(W7+W28+W31+W34+W37+W40+W43+W46+W49+W52+W55+W58+W61+W64+W67+W70+W73+W76)</f>
        <v>41904016</v>
      </c>
      <c r="X79" s="29">
        <f>SUM(X7+X28+X31+X34+X37+X40+X43+X46+X49+X52+X55+X58+X61+X64+X67+X70+X73+X76)</f>
        <v>36017304</v>
      </c>
      <c r="Y79" s="60">
        <f>(X79/W79-1)*100</f>
        <v>-14.048085510467544</v>
      </c>
      <c r="Z79" s="29">
        <f>Z16+Z19+Z22+Z25+Z28+Z31+Z34+Z37+Z40+Z43+Z46+Z49+Z52+Z55+Z58+Z61+Z64+Z67+Z70+Z73+Z76</f>
        <v>15146564</v>
      </c>
      <c r="AA79" s="29">
        <f>AA16+AA19+AA22+AA25+AA28+AA31+AA34+AA37+AA40+AA43+AA46+AA49+AA52+AA55+AA58+AA61+AA64+AA67+AA70+AA73+AA76</f>
        <v>13655933</v>
      </c>
      <c r="AB79" s="60">
        <f>(AA79/Z79-1)*100</f>
        <v>-9.8413805269630839</v>
      </c>
      <c r="AC79" s="29">
        <f>SUM(AC7+AC28+AC31+AC34+AC37+AC40+AC43+AC46+AC49+AC52+AC55+AC58+AC61+AC64+AC67+AC70+AC73+AC76)</f>
        <v>57925081</v>
      </c>
      <c r="AD79" s="29">
        <f>SUM(AD7+AD28+AD31+AD34+AD37+AD40+AD43+AD46+AD49+AD52+AD55+AD58+AD61+AD64+AD67+AD70+AD73+AD76)</f>
        <v>49673299</v>
      </c>
      <c r="AE79" s="60">
        <f>(AD79/AC79-1)*100</f>
        <v>-14.245611499447019</v>
      </c>
      <c r="AF79" s="29">
        <f>AF16+AF19+AF22+AF25+AF28+AF31+AF34+AF37+AF40+AF43+AF46+AF49+AF52+AF55+AF58+AF61+AF64+AF67+AF70+AF73+AF76</f>
        <v>12904471</v>
      </c>
      <c r="AG79" s="29">
        <f>AG16+AG19+AG22+AG25+AG28+AG31+AG34+AG37+AG40+AG43+AG46+AG49+AG52+AG55+AG58+AG61+AG64+AG67+AG70+AG73+AG76</f>
        <v>14094402</v>
      </c>
      <c r="AH79" s="60">
        <f>(AG79/AF79-1)*100</f>
        <v>9.2210753931718727</v>
      </c>
      <c r="AI79" s="29">
        <f>SUM(AI7+AI28+AI31+AI34+AI37+AI40+AI43+AI46+AI49+AI52+AI55+AI58+AI61+AI64+AI67+AI70+AI73+AI76)</f>
        <v>70855795</v>
      </c>
      <c r="AJ79" s="29">
        <f>SUM(AJ7+AJ28+AJ31+AJ34+AJ37+AJ40+AJ43+AJ46+AJ49+AJ52+AJ55+AJ58+AJ61+AJ64+AJ67+AJ70+AJ73+AJ76)</f>
        <v>63768433</v>
      </c>
      <c r="AK79" s="60">
        <f>(AJ79/AI79-1)*100</f>
        <v>-10.002515672853573</v>
      </c>
      <c r="AL79" s="29">
        <f>AL16+AL19+AL22+AL25+AL28+AL31+AL34+AL37+AL40+AL43+AL46+AL49+AL52+AL55+AL58+AL61+AL64+AL67+AL70+AL73+AL76</f>
        <v>20157004</v>
      </c>
      <c r="AM79" s="29">
        <f>AM16+AM19+AM22+AM25+AM28+AM31+AM34+AM37+AM40+AM43+AM46+AM49+AM52+AM55+AM58+AM61+AM64+AM67+AM70+AM73+AM76</f>
        <v>14248699</v>
      </c>
      <c r="AN79" s="60">
        <f>(AM79/AL79-1)*100</f>
        <v>-29.311424455737566</v>
      </c>
      <c r="AO79" s="29">
        <f>SUM(AO7+AO28+AO31+AO34+AO37+AO40+AO43+AO46+AO49+AO52+AO55+AO58+AO61+AO64+AO67+AO70+AO73+AO76)</f>
        <v>91012799</v>
      </c>
      <c r="AP79" s="29">
        <f>SUM(AP7+AP28+AP31+AP34+AP37+AP40+AP43+AP46+AP49+AP52+AP55+AP58+AP61+AP64+AP67+AP70+AP73+AP76)</f>
        <v>78017132</v>
      </c>
      <c r="AQ79" s="60">
        <f>(AP79/AO79-1)*100</f>
        <v>-14.278944437254371</v>
      </c>
      <c r="AR79" s="29">
        <f>AR16+AR19+AR22+AR25+AR28+AR31+AR34+AR37+AR40+AR43+AR46+AR49+AR52+AR55+AR58+AR61+AR64+AR67+AR70+AR73+AR76</f>
        <v>15404938</v>
      </c>
      <c r="AS79" s="29">
        <f>AS16+AS19+AS22+AS25+AS28+AS31+AS34+AS37+AS40+AS43+AS46+AS49+AS52+AS55+AS58+AS61+AS64+AS67+AS70+AS73+AS76</f>
        <v>15628862</v>
      </c>
      <c r="AT79" s="60">
        <f>(AS79/AR79-1)*100</f>
        <v>1.4535858566908866</v>
      </c>
      <c r="AU79" s="29">
        <f>SUM(AU7+AU28+AU31+AU34+AU37+AU40+AU43+AU46+AU49+AU52+AU55+AU58+AU61+AU64+AU67+AU70+AU73+AU76)</f>
        <v>106417832</v>
      </c>
      <c r="AV79" s="29">
        <f>SUM(AV7+AV28+AV31+AV34+AV37+AV40+AV43+AV46+AV49+AV52+AV55+AV58+AV61+AV64+AV67+AV70+AV73+AV76)</f>
        <v>93645994</v>
      </c>
      <c r="AW79" s="60">
        <f>(AV79/AU79-1)*100</f>
        <v>-12.001595747599891</v>
      </c>
      <c r="AX79" s="29">
        <f>AX16+AX19+AX22+AX25+AX28+AX31+AX34+AX37+AX40+AX43+AX46+AX49+AX52+AX55+AX58+AX61+AX64+AX67+AX70+AX73+AX76</f>
        <v>12292130</v>
      </c>
      <c r="AY79" s="29">
        <f>AY16+AY19+AY22+AY25+AY28+AY31+AY34+AY37+AY40+AY43+AY46+AY49+AY52+AY55+AY58+AY61+AY64+AY67+AY70+AY73+AY76</f>
        <v>13702828</v>
      </c>
      <c r="AZ79" s="60">
        <f>(AY79/AX79-1)*100</f>
        <v>11.476432481595955</v>
      </c>
      <c r="BA79" s="29">
        <f>SUM(BA7+BA28+BA31+BA34+BA37+BA40+BA43+BA46+BA49+BA52+BA55+BA58+BA61+BA64+BA67+BA70+BA73+BA76)</f>
        <v>118710018</v>
      </c>
      <c r="BB79" s="29">
        <f>SUM(BB7+BB28+BB31+BB34+BB37+BB40+BB43+BB46+BB49+BB52+BB55+BB58+BB61+BB64+BB67+BB70+BB73+BB76)</f>
        <v>107348957</v>
      </c>
      <c r="BC79" s="60">
        <f>(BB79/BA79-1)*100</f>
        <v>-9.5704315367890818</v>
      </c>
      <c r="BD79" s="29">
        <f>BD16+BD19+BD22+BD25+BD28+BD31+BD34+BD37+BD40+BD43+BD46+BD49+BD52+BD55+BD58+BD61+BD64+BD67+BD70+BD73+BD76</f>
        <v>11662339</v>
      </c>
      <c r="BE79" s="29">
        <f>BE16+BE19+BE22+BE25+BE28+BE31+BE34+BE37+BE40+BE43+BE46+BE49+BE52+BE55+BE58+BE61+BE64+BE67+BE70+BE73+BE76</f>
        <v>11410950</v>
      </c>
      <c r="BF79" s="60">
        <f>(BE79/BD79-1)*100</f>
        <v>-2.1555624476359281</v>
      </c>
      <c r="BG79" s="29">
        <f>SUM(BG7+BG28+BG31+BG34+BG37+BG40+BG43+BG46+BG49+BG52+BG55+BG58+BG61+BG64+BG67+BG70+BG73+BG76)</f>
        <v>130372620</v>
      </c>
      <c r="BH79" s="29">
        <f>SUM(BH7+BH28+BH31+BH34+BH37+BH40+BH43+BH46+BH49+BH52+BH55+BH58+BH61+BH64+BH67+BH70+BH73+BH76)</f>
        <v>118760375</v>
      </c>
      <c r="BI79" s="60">
        <f>(BH79/BG79-1)*100</f>
        <v>-8.9069660485460833</v>
      </c>
      <c r="BJ79" s="29">
        <f>BJ16+BJ19+BJ22+BJ25+BJ28+BJ31+BJ34+BJ37+BJ40+BJ43+BJ46+BJ49+BJ52+BJ55+BJ58+BJ61+BJ64+BJ67+BJ70+BJ73+BJ76</f>
        <v>12345535</v>
      </c>
      <c r="BK79" s="29">
        <f>BK16+BK19+BK22+BK25+BK28+BK31+BK34+BK37+BK40+BK43+BK46+BK49+BK52+BK55+BK58+BK61+BK64+BK67+BK70+BK73+BK76</f>
        <v>13962948</v>
      </c>
      <c r="BL79" s="60">
        <f>(BK79/BJ79-1)*100</f>
        <v>13.101198125476143</v>
      </c>
      <c r="BM79" s="29">
        <f>SUM(BM7+BM28+BM31+BM34+BM37+BM40+BM43+BM46+BM49+BM52+BM55+BM58+BM61+BM64+BM67+BM70+BM73+BM76)</f>
        <v>142718252</v>
      </c>
      <c r="BN79" s="29">
        <f>SUM(BN7+BN28+BN31+BN34+BN37+BN40+BN43+BN46+BN49+BN52+BN55+BN58+BN61+BN64+BN67+BN70+BN73+BN76)</f>
        <v>132723323</v>
      </c>
      <c r="BO79" s="60">
        <f>(BN79/BM79-1)*100</f>
        <v>-7.003259120634409</v>
      </c>
      <c r="BP79" s="29">
        <f>BP16+BP19+BP22+BP25+BP28+BP31+BP34+BP37+BP40+BP43+BP46+BP49+BP52+BP55+BP58+BP61+BP64+BP67+BP70+BP73+BP76</f>
        <v>10968553</v>
      </c>
      <c r="BQ79" s="29">
        <f>BQ16+BQ19+BQ22+BQ25+BQ28+BQ31+BQ34+BQ37+BQ40+BQ43+BQ46+BQ49+BQ52+BQ55+BQ58+BQ61+BQ64+BQ67+BQ70+BQ73+BQ76</f>
        <v>15599638</v>
      </c>
      <c r="BR79" s="60">
        <f>(BQ79/BP79-1)*100</f>
        <v>42.221476251242997</v>
      </c>
      <c r="BS79" s="29">
        <f>SUM(BS7+BS28+BS31+BS34+BS37+BS40+BS43+BS46+BS49+BS52+BS55+BS58+BS61+BS64+BS67+BS70+BS73+BS76)</f>
        <v>153686805</v>
      </c>
      <c r="BT79" s="29">
        <f>SUM(BT7+BT28+BT31+BT34+BT37+BT40+BT43+BT46+BT49+BT52+BT55+BT58+BT61+BT64+BT67+BT70+BT73+BT76)</f>
        <v>148323190</v>
      </c>
      <c r="BU79" s="60">
        <f>(BT79/BS79-1)*100</f>
        <v>-3.4899645418486003</v>
      </c>
      <c r="BV79" s="29">
        <f>BV16+BV19+BV22+BV25+BV28+BV31+BV34+BV37+BV40+BV43+BV46+BV49+BV52+BV55+BV58+BV61+BV64+BV67+BV70+BV73+BV76</f>
        <v>9591872</v>
      </c>
      <c r="BW79" s="29">
        <f>BW16+BW19+BW22+BW25+BW28+BW31+BW34+BW37+BW40+BW43+BW46+BW49+BW52+BW55+BW58+BW61+BW64+BW67+BW70+BW73+BW76</f>
        <v>13373466</v>
      </c>
      <c r="BX79" s="60">
        <f>(BW79/BV79-1)*100</f>
        <v>39.424983986441852</v>
      </c>
      <c r="BY79" s="29">
        <f>SUM(BY7+BY28+BY31+BY34+BY37+BY40+BY43+BY46+BY49+BY52+BY55+BY58+BY61+BY64+BY67+BY70+BY73+BY76)</f>
        <v>163278677</v>
      </c>
      <c r="BZ79" s="29">
        <f>SUM(BZ7+BZ28+BZ31+BZ34+BZ37+BZ40+BZ43+BZ46+BZ49+BZ52+BZ55+BZ58+BZ61+BZ64+BZ67+BZ70+BZ73+BZ76)</f>
        <v>161696713</v>
      </c>
      <c r="CA79" s="60">
        <f>(BZ79/BY79-1)*100</f>
        <v>-0.96887360252190247</v>
      </c>
      <c r="CB79" s="6"/>
    </row>
    <row r="80" spans="1:80" s="3" customFormat="1" ht="19.5" customHeight="1">
      <c r="A80" s="131"/>
      <c r="B80" s="132"/>
      <c r="C80" s="13" t="s">
        <v>105</v>
      </c>
      <c r="D80" s="30">
        <f t="shared" ref="D80:L80" si="465">D79/D78</f>
        <v>1.525183742120966</v>
      </c>
      <c r="E80" s="30">
        <f t="shared" si="465"/>
        <v>1.6659618624909132</v>
      </c>
      <c r="F80" s="30">
        <f t="shared" si="465"/>
        <v>1.6261563309577567</v>
      </c>
      <c r="G80" s="30">
        <f t="shared" si="465"/>
        <v>1.4103948888311635</v>
      </c>
      <c r="H80" s="30">
        <f>H79/H78</f>
        <v>0.89781507686530682</v>
      </c>
      <c r="I80" s="31">
        <f>I79/I78</f>
        <v>1.0861438570368951</v>
      </c>
      <c r="J80" s="30">
        <f>J79/J78</f>
        <v>1.2213838654632079</v>
      </c>
      <c r="K80" s="30">
        <f t="shared" si="465"/>
        <v>1.3451560897907964</v>
      </c>
      <c r="L80" s="30">
        <f t="shared" si="465"/>
        <v>1.7262573218043167</v>
      </c>
      <c r="M80" s="61"/>
      <c r="N80" s="30">
        <f>N79/N78</f>
        <v>1.463113753209472</v>
      </c>
      <c r="O80" s="30">
        <f>O79/O78</f>
        <v>1.2112371805725053</v>
      </c>
      <c r="P80" s="31"/>
      <c r="Q80" s="30">
        <f>Q79/Q78</f>
        <v>1.4586402978672737</v>
      </c>
      <c r="R80" s="30">
        <f>R79/R78</f>
        <v>1.4120666276546305</v>
      </c>
      <c r="S80" s="31"/>
      <c r="T80" s="30">
        <f>T79/T78</f>
        <v>1.1052381811100895</v>
      </c>
      <c r="U80" s="30">
        <f>U79/U78</f>
        <v>1.335988134326521</v>
      </c>
      <c r="V80" s="31"/>
      <c r="W80" s="30">
        <f>W79/W78</f>
        <v>1.3106249342795535</v>
      </c>
      <c r="X80" s="30">
        <f>X79/X78</f>
        <v>1.3833481728566466</v>
      </c>
      <c r="Y80" s="31"/>
      <c r="Z80" s="30">
        <f>Z79/Z78</f>
        <v>1.2186361518534994</v>
      </c>
      <c r="AA80" s="30">
        <f>AA79/AA78</f>
        <v>1.2358767849416328</v>
      </c>
      <c r="AB80" s="31"/>
      <c r="AC80" s="30">
        <f>AC79/AC78</f>
        <v>1.3036600759661976</v>
      </c>
      <c r="AD80" s="30">
        <f>AD79/AD78</f>
        <v>1.3394113727860633</v>
      </c>
      <c r="AE80" s="31"/>
      <c r="AF80" s="30">
        <f>AF79/AF78</f>
        <v>1.2757152676605823</v>
      </c>
      <c r="AG80" s="30">
        <f>AG79/AG78</f>
        <v>1.0903537390663127</v>
      </c>
      <c r="AH80" s="31"/>
      <c r="AI80" s="30">
        <f>AI79/AI78</f>
        <v>1.2989352388642783</v>
      </c>
      <c r="AJ80" s="30">
        <f>AJ79/AJ78</f>
        <v>1.275053288319667</v>
      </c>
      <c r="AK80" s="31"/>
      <c r="AL80" s="30">
        <f>AL79/AL78</f>
        <v>1.3167628244553713</v>
      </c>
      <c r="AM80" s="30">
        <f>AM79/AM78</f>
        <v>1.3601946831101377</v>
      </c>
      <c r="AN80" s="31"/>
      <c r="AO80" s="30">
        <f>AO79/AO78</f>
        <v>1.3028418500128871</v>
      </c>
      <c r="AP80" s="30">
        <f>AP79/AP78</f>
        <v>1.2897983548828944</v>
      </c>
      <c r="AQ80" s="31"/>
      <c r="AR80" s="30">
        <f>AR79/AR78</f>
        <v>1.3124041304305785</v>
      </c>
      <c r="AS80" s="30">
        <f>AS79/AS78</f>
        <v>1.1223040749210829</v>
      </c>
      <c r="AT80" s="31"/>
      <c r="AU80" s="30">
        <f>AU79/AU78</f>
        <v>1.3042186068847674</v>
      </c>
      <c r="AV80" s="30">
        <f>AV79/AV78</f>
        <v>1.2584536054558346</v>
      </c>
      <c r="AW80" s="31"/>
      <c r="AX80" s="30">
        <f>AX79/AX78</f>
        <v>1.3452900025828594</v>
      </c>
      <c r="AY80" s="30">
        <f>AY79/AY78</f>
        <v>1.0434505163100301</v>
      </c>
      <c r="AZ80" s="31"/>
      <c r="BA80" s="30">
        <f>BA79/BA78</f>
        <v>1.3083553049407528</v>
      </c>
      <c r="BB80" s="30">
        <f>BB79/BB78</f>
        <v>1.2262037991532453</v>
      </c>
      <c r="BC80" s="31"/>
      <c r="BD80" s="30">
        <f>BD79/BD78</f>
        <v>0.8767153223763392</v>
      </c>
      <c r="BE80" s="30">
        <f>BE79/BE78</f>
        <v>1.5535298269231397</v>
      </c>
      <c r="BF80" s="31"/>
      <c r="BG80" s="30">
        <f>BG79/BG78</f>
        <v>1.2531664718564</v>
      </c>
      <c r="BH80" s="30">
        <f>BH79/BH78</f>
        <v>1.2515458270457651</v>
      </c>
      <c r="BI80" s="31"/>
      <c r="BJ80" s="30">
        <f>BJ79/BJ78</f>
        <v>1.5757968853289519</v>
      </c>
      <c r="BK80" s="30">
        <f>BK79/BK78</f>
        <v>1.0993892355511821</v>
      </c>
      <c r="BL80" s="31"/>
      <c r="BM80" s="30">
        <f>BM79/BM78</f>
        <v>1.2757619626786965</v>
      </c>
      <c r="BN80" s="30">
        <f>BN79/BN78</f>
        <v>1.2335845143588495</v>
      </c>
      <c r="BO80" s="31"/>
      <c r="BP80" s="30">
        <f>BP79/BP78</f>
        <v>0.82254242032903191</v>
      </c>
      <c r="BQ80" s="30">
        <f>BQ79/BQ78</f>
        <v>1.302917684594729</v>
      </c>
      <c r="BR80" s="31"/>
      <c r="BS80" s="30">
        <f>BS79/BS78</f>
        <v>1.2274914881291941</v>
      </c>
      <c r="BT80" s="30">
        <f>BT79/BT78</f>
        <v>1.2405292600242366</v>
      </c>
      <c r="BU80" s="31"/>
      <c r="BV80" s="30">
        <f>BV79/BV78</f>
        <v>1.1312004872057773</v>
      </c>
      <c r="BW80" s="30">
        <f>BW79/BW78</f>
        <v>1.4545221795211327</v>
      </c>
      <c r="BX80" s="31"/>
      <c r="BY80" s="30">
        <f>BY79/BY78</f>
        <v>1.2213838654632079</v>
      </c>
      <c r="BZ80" s="30">
        <f>BZ79/BZ78</f>
        <v>1.2558104977764324</v>
      </c>
      <c r="CA80" s="31"/>
      <c r="CB80" s="6"/>
    </row>
    <row r="85" spans="10:10">
      <c r="J85" s="6"/>
    </row>
    <row r="86" spans="10:10">
      <c r="J86" s="6"/>
    </row>
  </sheetData>
  <mergeCells count="82">
    <mergeCell ref="BV4:BX4"/>
    <mergeCell ref="BY4:CA4"/>
    <mergeCell ref="BP4:BR4"/>
    <mergeCell ref="BS4:BU4"/>
    <mergeCell ref="BJ4:BL4"/>
    <mergeCell ref="BM4:BO4"/>
    <mergeCell ref="AU4:AW4"/>
    <mergeCell ref="AO4:AQ4"/>
    <mergeCell ref="BD4:BF4"/>
    <mergeCell ref="BG4:BI4"/>
    <mergeCell ref="AX4:AZ4"/>
    <mergeCell ref="BA4:BC4"/>
    <mergeCell ref="A1:C2"/>
    <mergeCell ref="B3:C3"/>
    <mergeCell ref="A4:C5"/>
    <mergeCell ref="D4:D5"/>
    <mergeCell ref="E4:E5"/>
    <mergeCell ref="A60:A62"/>
    <mergeCell ref="B60:B62"/>
    <mergeCell ref="A54:A56"/>
    <mergeCell ref="A57:A59"/>
    <mergeCell ref="B54:B56"/>
    <mergeCell ref="B57:B59"/>
    <mergeCell ref="A78:B80"/>
    <mergeCell ref="A63:A65"/>
    <mergeCell ref="B63:B65"/>
    <mergeCell ref="A66:A68"/>
    <mergeCell ref="B66:B68"/>
    <mergeCell ref="A72:A74"/>
    <mergeCell ref="A75:A77"/>
    <mergeCell ref="B75:B77"/>
    <mergeCell ref="A69:A71"/>
    <mergeCell ref="B69:B71"/>
    <mergeCell ref="B72:B74"/>
    <mergeCell ref="A51:A53"/>
    <mergeCell ref="B48:B50"/>
    <mergeCell ref="B33:B35"/>
    <mergeCell ref="B42:B44"/>
    <mergeCell ref="B39:B41"/>
    <mergeCell ref="A36:A38"/>
    <mergeCell ref="B36:B38"/>
    <mergeCell ref="B51:B53"/>
    <mergeCell ref="A45:A47"/>
    <mergeCell ref="B45:B47"/>
    <mergeCell ref="A39:A41"/>
    <mergeCell ref="A42:A44"/>
    <mergeCell ref="A48:A50"/>
    <mergeCell ref="A33:A35"/>
    <mergeCell ref="A18:A20"/>
    <mergeCell ref="B18:B20"/>
    <mergeCell ref="A21:A23"/>
    <mergeCell ref="B21:B23"/>
    <mergeCell ref="A30:A32"/>
    <mergeCell ref="B30:B32"/>
    <mergeCell ref="A24:A26"/>
    <mergeCell ref="B24:B26"/>
    <mergeCell ref="A27:A29"/>
    <mergeCell ref="B27:B29"/>
    <mergeCell ref="A15:A17"/>
    <mergeCell ref="B15:B17"/>
    <mergeCell ref="A6:A8"/>
    <mergeCell ref="B6:B8"/>
    <mergeCell ref="A9:A11"/>
    <mergeCell ref="B9:B11"/>
    <mergeCell ref="A12:A14"/>
    <mergeCell ref="B12:B14"/>
    <mergeCell ref="Q4:S4"/>
    <mergeCell ref="T4:V4"/>
    <mergeCell ref="W4:Y4"/>
    <mergeCell ref="AR4:AT4"/>
    <mergeCell ref="F4:F5"/>
    <mergeCell ref="N4:P4"/>
    <mergeCell ref="G4:G5"/>
    <mergeCell ref="K4:M4"/>
    <mergeCell ref="H4:H5"/>
    <mergeCell ref="I4:I5"/>
    <mergeCell ref="J4:J5"/>
    <mergeCell ref="Z4:AB4"/>
    <mergeCell ref="AF4:AH4"/>
    <mergeCell ref="AI4:AK4"/>
    <mergeCell ref="AC4:AE4"/>
    <mergeCell ref="AL4:AN4"/>
  </mergeCells>
  <phoneticPr fontId="6" type="noConversion"/>
  <printOptions horizontalCentered="1"/>
  <pageMargins left="0.19685039370078741" right="3.937007874015748E-2" top="0.59055118110236227" bottom="0.35433070866141736" header="0.31496062992125984" footer="0.31496062992125984"/>
  <pageSetup paperSize="9" scale="75" orientation="portrait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B87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sqref="A1:C2"/>
    </sheetView>
  </sheetViews>
  <sheetFormatPr defaultRowHeight="16.5"/>
  <cols>
    <col min="1" max="3" width="10.625" customWidth="1"/>
    <col min="4" max="9" width="13.625" hidden="1" customWidth="1"/>
    <col min="10" max="10" width="13.625" customWidth="1"/>
    <col min="11" max="12" width="13.625" hidden="1" customWidth="1"/>
    <col min="13" max="13" width="9.625" hidden="1" customWidth="1"/>
    <col min="14" max="15" width="13.625" hidden="1" customWidth="1"/>
    <col min="16" max="16" width="9.625" hidden="1" customWidth="1"/>
    <col min="17" max="18" width="13.625" hidden="1" customWidth="1"/>
    <col min="19" max="19" width="9.625" hidden="1" customWidth="1"/>
    <col min="20" max="21" width="13.625" hidden="1" customWidth="1"/>
    <col min="22" max="22" width="9.625" hidden="1" customWidth="1"/>
    <col min="23" max="24" width="13.625" hidden="1" customWidth="1"/>
    <col min="25" max="25" width="9.625" hidden="1" customWidth="1"/>
    <col min="26" max="27" width="13.625" hidden="1" customWidth="1"/>
    <col min="28" max="28" width="9.625" hidden="1" customWidth="1"/>
    <col min="29" max="30" width="13.625" hidden="1" customWidth="1"/>
    <col min="31" max="31" width="9.625" hidden="1" customWidth="1"/>
    <col min="32" max="33" width="13.625" hidden="1" customWidth="1"/>
    <col min="34" max="34" width="9.625" hidden="1" customWidth="1"/>
    <col min="35" max="36" width="13.625" hidden="1" customWidth="1"/>
    <col min="37" max="37" width="9.625" hidden="1" customWidth="1"/>
    <col min="38" max="39" width="13.625" hidden="1" customWidth="1"/>
    <col min="40" max="40" width="9.625" hidden="1" customWidth="1"/>
    <col min="41" max="42" width="13.625" hidden="1" customWidth="1"/>
    <col min="43" max="43" width="9.625" hidden="1" customWidth="1"/>
    <col min="44" max="45" width="13.625" hidden="1" customWidth="1"/>
    <col min="46" max="46" width="9.625" hidden="1" customWidth="1"/>
    <col min="47" max="48" width="13.625" hidden="1" customWidth="1"/>
    <col min="49" max="49" width="9.625" hidden="1" customWidth="1"/>
    <col min="50" max="51" width="13.625" hidden="1" customWidth="1"/>
    <col min="52" max="52" width="9.625" hidden="1" customWidth="1"/>
    <col min="53" max="54" width="13.625" hidden="1" customWidth="1"/>
    <col min="55" max="55" width="9.625" hidden="1" customWidth="1"/>
    <col min="56" max="57" width="13.625" hidden="1" customWidth="1"/>
    <col min="58" max="58" width="9.625" hidden="1" customWidth="1"/>
    <col min="59" max="60" width="13.625" hidden="1" customWidth="1"/>
    <col min="61" max="61" width="9.625" hidden="1" customWidth="1"/>
    <col min="62" max="63" width="13.625" hidden="1" customWidth="1"/>
    <col min="64" max="64" width="9.625" hidden="1" customWidth="1"/>
    <col min="65" max="66" width="13.625" hidden="1" customWidth="1"/>
    <col min="67" max="67" width="9.625" hidden="1" customWidth="1"/>
    <col min="68" max="69" width="13.625" hidden="1" customWidth="1"/>
    <col min="70" max="70" width="9.625" hidden="1" customWidth="1"/>
    <col min="71" max="72" width="13.625" hidden="1" customWidth="1"/>
    <col min="73" max="73" width="9.625" hidden="1" customWidth="1"/>
    <col min="74" max="75" width="13.625" customWidth="1"/>
    <col min="76" max="76" width="9.625" customWidth="1"/>
    <col min="77" max="78" width="13.625" customWidth="1"/>
    <col min="79" max="79" width="9.625" customWidth="1"/>
  </cols>
  <sheetData>
    <row r="1" spans="1:80">
      <c r="A1" s="158" t="s">
        <v>47</v>
      </c>
      <c r="B1" s="159"/>
      <c r="C1" s="160"/>
    </row>
    <row r="2" spans="1:80" ht="17.25" thickBot="1">
      <c r="A2" s="161"/>
      <c r="B2" s="162"/>
      <c r="C2" s="163"/>
    </row>
    <row r="3" spans="1:80">
      <c r="B3" s="173" t="s">
        <v>24</v>
      </c>
      <c r="C3" s="173"/>
    </row>
    <row r="4" spans="1:80" s="3" customFormat="1">
      <c r="A4" s="145"/>
      <c r="B4" s="146"/>
      <c r="C4" s="147"/>
      <c r="D4" s="112" t="s">
        <v>0</v>
      </c>
      <c r="E4" s="112" t="s">
        <v>1</v>
      </c>
      <c r="F4" s="112" t="s">
        <v>55</v>
      </c>
      <c r="G4" s="112" t="s">
        <v>56</v>
      </c>
      <c r="H4" s="112" t="s">
        <v>39</v>
      </c>
      <c r="I4" s="112" t="s">
        <v>41</v>
      </c>
      <c r="J4" s="112" t="s">
        <v>43</v>
      </c>
      <c r="K4" s="110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186</v>
      </c>
      <c r="U4" s="110"/>
      <c r="V4" s="111"/>
      <c r="W4" s="109" t="s">
        <v>187</v>
      </c>
      <c r="X4" s="110"/>
      <c r="Y4" s="111"/>
      <c r="Z4" s="109" t="s">
        <v>192</v>
      </c>
      <c r="AA4" s="110"/>
      <c r="AB4" s="111"/>
      <c r="AC4" s="109" t="s">
        <v>193</v>
      </c>
      <c r="AD4" s="110"/>
      <c r="AE4" s="111"/>
      <c r="AF4" s="109" t="s">
        <v>196</v>
      </c>
      <c r="AG4" s="110"/>
      <c r="AH4" s="111"/>
      <c r="AI4" s="109" t="s">
        <v>197</v>
      </c>
      <c r="AJ4" s="110"/>
      <c r="AK4" s="111"/>
      <c r="AL4" s="109" t="s">
        <v>200</v>
      </c>
      <c r="AM4" s="110"/>
      <c r="AN4" s="111"/>
      <c r="AO4" s="109" t="s">
        <v>201</v>
      </c>
      <c r="AP4" s="110"/>
      <c r="AQ4" s="111"/>
      <c r="AR4" s="109" t="s">
        <v>204</v>
      </c>
      <c r="AS4" s="110"/>
      <c r="AT4" s="111"/>
      <c r="AU4" s="109" t="s">
        <v>205</v>
      </c>
      <c r="AV4" s="110"/>
      <c r="AW4" s="111"/>
      <c r="AX4" s="109" t="s">
        <v>208</v>
      </c>
      <c r="AY4" s="110"/>
      <c r="AZ4" s="111"/>
      <c r="BA4" s="109" t="s">
        <v>209</v>
      </c>
      <c r="BB4" s="110"/>
      <c r="BC4" s="111"/>
      <c r="BD4" s="109" t="s">
        <v>213</v>
      </c>
      <c r="BE4" s="110"/>
      <c r="BF4" s="111"/>
      <c r="BG4" s="109" t="s">
        <v>214</v>
      </c>
      <c r="BH4" s="110"/>
      <c r="BI4" s="111"/>
      <c r="BJ4" s="109" t="s">
        <v>217</v>
      </c>
      <c r="BK4" s="110"/>
      <c r="BL4" s="111"/>
      <c r="BM4" s="109" t="s">
        <v>218</v>
      </c>
      <c r="BN4" s="110"/>
      <c r="BO4" s="111"/>
      <c r="BP4" s="109" t="s">
        <v>221</v>
      </c>
      <c r="BQ4" s="110"/>
      <c r="BR4" s="111"/>
      <c r="BS4" s="109" t="s">
        <v>222</v>
      </c>
      <c r="BT4" s="110"/>
      <c r="BU4" s="111"/>
      <c r="BV4" s="109" t="s">
        <v>227</v>
      </c>
      <c r="BW4" s="110"/>
      <c r="BX4" s="111"/>
      <c r="BY4" s="109" t="s">
        <v>228</v>
      </c>
      <c r="BZ4" s="110"/>
      <c r="CA4" s="111"/>
    </row>
    <row r="5" spans="1:80" s="3" customFormat="1" ht="17.25" thickBot="1">
      <c r="A5" s="148"/>
      <c r="B5" s="149"/>
      <c r="C5" s="150"/>
      <c r="D5" s="113"/>
      <c r="E5" s="113"/>
      <c r="F5" s="113"/>
      <c r="G5" s="113"/>
      <c r="H5" s="113"/>
      <c r="I5" s="113"/>
      <c r="J5" s="113"/>
      <c r="K5" s="36" t="s">
        <v>181</v>
      </c>
      <c r="L5" s="36" t="s">
        <v>183</v>
      </c>
      <c r="M5" s="36" t="s">
        <v>5</v>
      </c>
      <c r="N5" s="36" t="s">
        <v>181</v>
      </c>
      <c r="O5" s="36" t="s">
        <v>183</v>
      </c>
      <c r="P5" s="36" t="s">
        <v>5</v>
      </c>
      <c r="Q5" s="36" t="s">
        <v>181</v>
      </c>
      <c r="R5" s="36" t="s">
        <v>183</v>
      </c>
      <c r="S5" s="36" t="s">
        <v>5</v>
      </c>
      <c r="T5" s="36" t="s">
        <v>181</v>
      </c>
      <c r="U5" s="36" t="s">
        <v>183</v>
      </c>
      <c r="V5" s="36" t="s">
        <v>5</v>
      </c>
      <c r="W5" s="36" t="s">
        <v>181</v>
      </c>
      <c r="X5" s="36" t="s">
        <v>183</v>
      </c>
      <c r="Y5" s="36" t="s">
        <v>5</v>
      </c>
      <c r="Z5" s="36" t="s">
        <v>181</v>
      </c>
      <c r="AA5" s="36" t="s">
        <v>183</v>
      </c>
      <c r="AB5" s="36" t="s">
        <v>5</v>
      </c>
      <c r="AC5" s="36" t="s">
        <v>181</v>
      </c>
      <c r="AD5" s="36" t="s">
        <v>183</v>
      </c>
      <c r="AE5" s="36" t="s">
        <v>5</v>
      </c>
      <c r="AF5" s="36" t="s">
        <v>54</v>
      </c>
      <c r="AG5" s="36" t="s">
        <v>183</v>
      </c>
      <c r="AH5" s="36" t="s">
        <v>5</v>
      </c>
      <c r="AI5" s="36" t="s">
        <v>54</v>
      </c>
      <c r="AJ5" s="36" t="s">
        <v>183</v>
      </c>
      <c r="AK5" s="36" t="s">
        <v>5</v>
      </c>
      <c r="AL5" s="36" t="s">
        <v>54</v>
      </c>
      <c r="AM5" s="36" t="s">
        <v>183</v>
      </c>
      <c r="AN5" s="36" t="s">
        <v>5</v>
      </c>
      <c r="AO5" s="36" t="s">
        <v>54</v>
      </c>
      <c r="AP5" s="36" t="s">
        <v>183</v>
      </c>
      <c r="AQ5" s="36" t="s">
        <v>5</v>
      </c>
      <c r="AR5" s="36" t="s">
        <v>54</v>
      </c>
      <c r="AS5" s="36" t="s">
        <v>183</v>
      </c>
      <c r="AT5" s="36" t="s">
        <v>5</v>
      </c>
      <c r="AU5" s="36" t="s">
        <v>54</v>
      </c>
      <c r="AV5" s="36" t="s">
        <v>183</v>
      </c>
      <c r="AW5" s="36" t="s">
        <v>5</v>
      </c>
      <c r="AX5" s="36" t="s">
        <v>210</v>
      </c>
      <c r="AY5" s="36" t="s">
        <v>183</v>
      </c>
      <c r="AZ5" s="36" t="s">
        <v>5</v>
      </c>
      <c r="BA5" s="36" t="s">
        <v>54</v>
      </c>
      <c r="BB5" s="36" t="s">
        <v>183</v>
      </c>
      <c r="BC5" s="36" t="s">
        <v>5</v>
      </c>
      <c r="BD5" s="36" t="s">
        <v>210</v>
      </c>
      <c r="BE5" s="36" t="s">
        <v>183</v>
      </c>
      <c r="BF5" s="36" t="s">
        <v>5</v>
      </c>
      <c r="BG5" s="36" t="s">
        <v>54</v>
      </c>
      <c r="BH5" s="36" t="s">
        <v>183</v>
      </c>
      <c r="BI5" s="36" t="s">
        <v>5</v>
      </c>
      <c r="BJ5" s="36" t="s">
        <v>210</v>
      </c>
      <c r="BK5" s="36" t="s">
        <v>183</v>
      </c>
      <c r="BL5" s="36" t="s">
        <v>5</v>
      </c>
      <c r="BM5" s="36" t="s">
        <v>54</v>
      </c>
      <c r="BN5" s="36" t="s">
        <v>183</v>
      </c>
      <c r="BO5" s="36" t="s">
        <v>5</v>
      </c>
      <c r="BP5" s="36" t="s">
        <v>210</v>
      </c>
      <c r="BQ5" s="36" t="s">
        <v>183</v>
      </c>
      <c r="BR5" s="36" t="s">
        <v>5</v>
      </c>
      <c r="BS5" s="36" t="s">
        <v>54</v>
      </c>
      <c r="BT5" s="36" t="s">
        <v>183</v>
      </c>
      <c r="BU5" s="36" t="s">
        <v>5</v>
      </c>
      <c r="BV5" s="36" t="s">
        <v>181</v>
      </c>
      <c r="BW5" s="36" t="s">
        <v>183</v>
      </c>
      <c r="BX5" s="36" t="s">
        <v>5</v>
      </c>
      <c r="BY5" s="36" t="s">
        <v>54</v>
      </c>
      <c r="BZ5" s="36" t="s">
        <v>183</v>
      </c>
      <c r="CA5" s="36" t="s">
        <v>5</v>
      </c>
    </row>
    <row r="6" spans="1:80" ht="19.5" customHeight="1">
      <c r="A6" s="152" t="s">
        <v>106</v>
      </c>
      <c r="B6" s="125" t="s">
        <v>25</v>
      </c>
      <c r="C6" s="32" t="s">
        <v>42</v>
      </c>
      <c r="D6" s="14">
        <v>22707</v>
      </c>
      <c r="E6" s="14">
        <v>80866</v>
      </c>
      <c r="F6" s="14">
        <v>666150</v>
      </c>
      <c r="G6" s="14">
        <v>267482</v>
      </c>
      <c r="H6" s="14">
        <v>385803</v>
      </c>
      <c r="I6" s="14">
        <v>112019</v>
      </c>
      <c r="J6" s="14">
        <v>162693</v>
      </c>
      <c r="K6" s="14">
        <v>16486</v>
      </c>
      <c r="L6" s="14">
        <v>1031</v>
      </c>
      <c r="M6" s="15">
        <f t="shared" ref="M6:M69" si="0">(L6/K6-1)*100</f>
        <v>-93.746208904525048</v>
      </c>
      <c r="N6" s="16">
        <f>Q6-K6</f>
        <v>1311</v>
      </c>
      <c r="O6" s="14">
        <f>R6-L6</f>
        <v>1107</v>
      </c>
      <c r="P6" s="15">
        <f t="shared" ref="P6:P69" si="1">(O6/N6-1)*100</f>
        <v>-15.560640732265451</v>
      </c>
      <c r="Q6" s="14">
        <v>17797</v>
      </c>
      <c r="R6" s="14">
        <v>2138</v>
      </c>
      <c r="S6" s="15">
        <f t="shared" ref="S6:S69" si="2">(R6/Q6-1)*100</f>
        <v>-87.986739338090686</v>
      </c>
      <c r="T6" s="16">
        <f>W6-Q6</f>
        <v>11700</v>
      </c>
      <c r="U6" s="14">
        <f>X6-R6</f>
        <v>1252</v>
      </c>
      <c r="V6" s="15">
        <f t="shared" ref="V6:V7" si="3">(U6/T6-1)*100</f>
        <v>-89.299145299145295</v>
      </c>
      <c r="W6" s="14">
        <v>29497</v>
      </c>
      <c r="X6" s="14">
        <v>3390</v>
      </c>
      <c r="Y6" s="15">
        <f t="shared" ref="Y6:Y7" si="4">(X6/W6-1)*100</f>
        <v>-88.507305827711292</v>
      </c>
      <c r="Z6" s="16">
        <f>AC6-W6</f>
        <v>22287</v>
      </c>
      <c r="AA6" s="14">
        <f>AD6-X6</f>
        <v>16388</v>
      </c>
      <c r="AB6" s="15">
        <f t="shared" ref="AB6:AB7" si="5">(AA6/Z6-1)*100</f>
        <v>-26.468344774980935</v>
      </c>
      <c r="AC6" s="14">
        <v>51784</v>
      </c>
      <c r="AD6" s="14">
        <v>19778</v>
      </c>
      <c r="AE6" s="15">
        <f t="shared" ref="AE6:AE7" si="6">(AD6/AC6-1)*100</f>
        <v>-61.806735671249811</v>
      </c>
      <c r="AF6" s="16">
        <f>AI6-AC6</f>
        <v>16524</v>
      </c>
      <c r="AG6" s="14">
        <f>AJ6-AD6</f>
        <v>12727</v>
      </c>
      <c r="AH6" s="15">
        <f t="shared" ref="AH6:AH7" si="7">(AG6/AF6-1)*100</f>
        <v>-22.978697651900269</v>
      </c>
      <c r="AI6" s="14">
        <v>68308</v>
      </c>
      <c r="AJ6" s="14">
        <v>32505</v>
      </c>
      <c r="AK6" s="15">
        <f t="shared" ref="AK6:AK7" si="8">(AJ6/AI6-1)*100</f>
        <v>-52.414065702406745</v>
      </c>
      <c r="AL6" s="16">
        <f>AO6-AI6</f>
        <v>20348</v>
      </c>
      <c r="AM6" s="14">
        <f>AP6-AJ6</f>
        <v>20675</v>
      </c>
      <c r="AN6" s="15">
        <f t="shared" ref="AN6:AN7" si="9">(AM6/AL6-1)*100</f>
        <v>1.6070375466876285</v>
      </c>
      <c r="AO6" s="14">
        <v>88656</v>
      </c>
      <c r="AP6" s="14">
        <v>53180</v>
      </c>
      <c r="AQ6" s="15">
        <f t="shared" ref="AQ6:AQ7" si="10">(AP6/AO6-1)*100</f>
        <v>-40.015340191301206</v>
      </c>
      <c r="AR6" s="16">
        <f>AU6-AO6</f>
        <v>10733</v>
      </c>
      <c r="AS6" s="14">
        <f>AV6-AP6</f>
        <v>1433</v>
      </c>
      <c r="AT6" s="15">
        <f t="shared" ref="AT6:AT7" si="11">(AS6/AR6-1)*100</f>
        <v>-86.648653684897042</v>
      </c>
      <c r="AU6" s="14">
        <v>99389</v>
      </c>
      <c r="AV6" s="14">
        <v>54613</v>
      </c>
      <c r="AW6" s="15">
        <f t="shared" ref="AW6:AW7" si="12">(AV6/AU6-1)*100</f>
        <v>-45.051263218263593</v>
      </c>
      <c r="AX6" s="16">
        <f>BA6-AU6</f>
        <v>2319</v>
      </c>
      <c r="AY6" s="14">
        <f>BB6-AV6</f>
        <v>23031</v>
      </c>
      <c r="AZ6" s="15">
        <f t="shared" ref="AZ6:AZ7" si="13">(AY6/AX6-1)*100</f>
        <v>893.14359637774908</v>
      </c>
      <c r="BA6" s="14">
        <v>101708</v>
      </c>
      <c r="BB6" s="14">
        <v>77644</v>
      </c>
      <c r="BC6" s="15">
        <f t="shared" ref="BC6:BC7" si="14">(BB6/BA6-1)*100</f>
        <v>-23.659889094269872</v>
      </c>
      <c r="BD6" s="16">
        <f>BG6-BA6</f>
        <v>424</v>
      </c>
      <c r="BE6" s="14">
        <f>BH6-BB6</f>
        <v>4124</v>
      </c>
      <c r="BF6" s="15">
        <f t="shared" ref="BF6:BF7" si="15">(BE6/BD6-1)*100</f>
        <v>872.64150943396237</v>
      </c>
      <c r="BG6" s="14">
        <v>102132</v>
      </c>
      <c r="BH6" s="14">
        <v>81768</v>
      </c>
      <c r="BI6" s="15">
        <f t="shared" ref="BI6:BI7" si="16">(BH6/BG6-1)*100</f>
        <v>-19.93890259663964</v>
      </c>
      <c r="BJ6" s="16">
        <f>BM6-BG6</f>
        <v>5447</v>
      </c>
      <c r="BK6" s="14">
        <f>BN6-BH6</f>
        <v>782</v>
      </c>
      <c r="BL6" s="15">
        <f t="shared" ref="BL6:BL7" si="17">(BK6/BJ6-1)*100</f>
        <v>-85.643473471635772</v>
      </c>
      <c r="BM6" s="14">
        <v>107579</v>
      </c>
      <c r="BN6" s="14">
        <v>82550</v>
      </c>
      <c r="BO6" s="15">
        <f t="shared" ref="BO6:BO7" si="18">(BN6/BM6-1)*100</f>
        <v>-23.265693118545439</v>
      </c>
      <c r="BP6" s="16">
        <f>BS6-BM6</f>
        <v>10746</v>
      </c>
      <c r="BQ6" s="14">
        <f>BT6-BN6</f>
        <v>26866</v>
      </c>
      <c r="BR6" s="15">
        <f t="shared" ref="BR6:BR7" si="19">(BQ6/BP6-1)*100</f>
        <v>150.00930578820024</v>
      </c>
      <c r="BS6" s="14">
        <v>118325</v>
      </c>
      <c r="BT6" s="14">
        <v>109416</v>
      </c>
      <c r="BU6" s="15">
        <f t="shared" ref="BU6:BU7" si="20">(BT6/BS6-1)*100</f>
        <v>-7.5292626241284637</v>
      </c>
      <c r="BV6" s="16">
        <f>BY6-BS6</f>
        <v>44368</v>
      </c>
      <c r="BW6" s="14">
        <f>BZ6-BT6</f>
        <v>3902</v>
      </c>
      <c r="BX6" s="15">
        <f t="shared" ref="BX6:BX7" si="21">(BW6/BV6-1)*100</f>
        <v>-91.20537324197619</v>
      </c>
      <c r="BY6" s="14">
        <v>162693</v>
      </c>
      <c r="BZ6" s="14">
        <v>113318</v>
      </c>
      <c r="CA6" s="15">
        <f t="shared" ref="CA6:CA7" si="22">(BZ6/BY6-1)*100</f>
        <v>-30.348570620739679</v>
      </c>
      <c r="CB6" s="6"/>
    </row>
    <row r="7" spans="1:80" ht="19.5" customHeight="1">
      <c r="A7" s="152"/>
      <c r="B7" s="125"/>
      <c r="C7" s="33" t="s">
        <v>104</v>
      </c>
      <c r="D7" s="17">
        <v>623810</v>
      </c>
      <c r="E7" s="17">
        <v>1088183</v>
      </c>
      <c r="F7" s="17">
        <v>9463897</v>
      </c>
      <c r="G7" s="17">
        <v>5663996</v>
      </c>
      <c r="H7" s="17">
        <v>3503643</v>
      </c>
      <c r="I7" s="17">
        <v>3287826</v>
      </c>
      <c r="J7" s="17">
        <v>7338647</v>
      </c>
      <c r="K7" s="17">
        <v>1125509</v>
      </c>
      <c r="L7" s="17">
        <v>331624</v>
      </c>
      <c r="M7" s="18">
        <f t="shared" si="0"/>
        <v>-70.535642096153822</v>
      </c>
      <c r="N7" s="14">
        <f>Q7-K7</f>
        <v>279157</v>
      </c>
      <c r="O7" s="14">
        <f>R7-L7</f>
        <v>237425</v>
      </c>
      <c r="P7" s="18">
        <f t="shared" si="1"/>
        <v>-14.949293766590122</v>
      </c>
      <c r="Q7" s="17">
        <v>1404666</v>
      </c>
      <c r="R7" s="17">
        <v>569049</v>
      </c>
      <c r="S7" s="18">
        <f t="shared" si="2"/>
        <v>-59.488661361490912</v>
      </c>
      <c r="T7" s="14">
        <f>W7-Q7</f>
        <v>660165</v>
      </c>
      <c r="U7" s="14">
        <f>X7-R7</f>
        <v>169395</v>
      </c>
      <c r="V7" s="18">
        <f t="shared" si="3"/>
        <v>-74.340505782645252</v>
      </c>
      <c r="W7" s="17">
        <v>2064831</v>
      </c>
      <c r="X7" s="17">
        <v>738444</v>
      </c>
      <c r="Y7" s="18">
        <f t="shared" si="4"/>
        <v>-64.237073155139583</v>
      </c>
      <c r="Z7" s="14">
        <f>AC7-W7</f>
        <v>740096</v>
      </c>
      <c r="AA7" s="14">
        <f>AD7-X7</f>
        <v>478273</v>
      </c>
      <c r="AB7" s="18">
        <f t="shared" si="5"/>
        <v>-35.376897051193353</v>
      </c>
      <c r="AC7" s="17">
        <v>2804927</v>
      </c>
      <c r="AD7" s="17">
        <v>1216717</v>
      </c>
      <c r="AE7" s="18">
        <f t="shared" si="6"/>
        <v>-56.622150950809058</v>
      </c>
      <c r="AF7" s="14">
        <f>AI7-AC7</f>
        <v>690579</v>
      </c>
      <c r="AG7" s="14">
        <f>AJ7-AD7</f>
        <v>496876</v>
      </c>
      <c r="AH7" s="18">
        <f t="shared" si="7"/>
        <v>-28.04936147783237</v>
      </c>
      <c r="AI7" s="17">
        <v>3495506</v>
      </c>
      <c r="AJ7" s="17">
        <v>1713593</v>
      </c>
      <c r="AK7" s="18">
        <f t="shared" si="8"/>
        <v>-50.977254795156981</v>
      </c>
      <c r="AL7" s="14">
        <f>AO7-AI7</f>
        <v>260201</v>
      </c>
      <c r="AM7" s="14">
        <f>AP7-AJ7</f>
        <v>321157</v>
      </c>
      <c r="AN7" s="18">
        <f t="shared" si="9"/>
        <v>23.426504894293252</v>
      </c>
      <c r="AO7" s="17">
        <v>3755707</v>
      </c>
      <c r="AP7" s="17">
        <v>2034750</v>
      </c>
      <c r="AQ7" s="18">
        <f t="shared" si="10"/>
        <v>-45.822451005895829</v>
      </c>
      <c r="AR7" s="14">
        <f>AU7-AO7</f>
        <v>380951</v>
      </c>
      <c r="AS7" s="14">
        <f>AV7-AP7</f>
        <v>290109</v>
      </c>
      <c r="AT7" s="18">
        <f t="shared" si="11"/>
        <v>-23.846111442153983</v>
      </c>
      <c r="AU7" s="17">
        <v>4136658</v>
      </c>
      <c r="AV7" s="17">
        <v>2324859</v>
      </c>
      <c r="AW7" s="18">
        <f t="shared" si="12"/>
        <v>-43.798617144564524</v>
      </c>
      <c r="AX7" s="14">
        <f>BA7-AU7</f>
        <v>328870</v>
      </c>
      <c r="AY7" s="14">
        <f>BB7-AV7</f>
        <v>380333</v>
      </c>
      <c r="AZ7" s="18">
        <f t="shared" si="13"/>
        <v>15.648432511326661</v>
      </c>
      <c r="BA7" s="17">
        <v>4465528</v>
      </c>
      <c r="BB7" s="17">
        <v>2705192</v>
      </c>
      <c r="BC7" s="18">
        <f t="shared" si="14"/>
        <v>-39.420556762828497</v>
      </c>
      <c r="BD7" s="14">
        <f>BG7-BA7</f>
        <v>190495</v>
      </c>
      <c r="BE7" s="14">
        <f>BH7-BB7</f>
        <v>250777</v>
      </c>
      <c r="BF7" s="18">
        <f t="shared" si="15"/>
        <v>31.644925063649954</v>
      </c>
      <c r="BG7" s="17">
        <v>4656023</v>
      </c>
      <c r="BH7" s="17">
        <v>2955969</v>
      </c>
      <c r="BI7" s="18">
        <f t="shared" si="16"/>
        <v>-36.513006915988178</v>
      </c>
      <c r="BJ7" s="14">
        <f>BM7-BG7</f>
        <v>542385</v>
      </c>
      <c r="BK7" s="14">
        <f>BN7-BH7</f>
        <v>196528</v>
      </c>
      <c r="BL7" s="18">
        <f t="shared" si="17"/>
        <v>-63.765959604340082</v>
      </c>
      <c r="BM7" s="17">
        <v>5198408</v>
      </c>
      <c r="BN7" s="17">
        <v>3152497</v>
      </c>
      <c r="BO7" s="18">
        <f t="shared" si="18"/>
        <v>-39.356491448920515</v>
      </c>
      <c r="BP7" s="14">
        <f>BS7-BM7</f>
        <v>289653</v>
      </c>
      <c r="BQ7" s="14">
        <f>BT7-BN7</f>
        <v>431035</v>
      </c>
      <c r="BR7" s="18">
        <f t="shared" si="19"/>
        <v>48.810818462090857</v>
      </c>
      <c r="BS7" s="17">
        <v>5488061</v>
      </c>
      <c r="BT7" s="17">
        <v>3583532</v>
      </c>
      <c r="BU7" s="18">
        <f t="shared" si="20"/>
        <v>-34.703131032982327</v>
      </c>
      <c r="BV7" s="14">
        <f>BY7-BS7</f>
        <v>1850586</v>
      </c>
      <c r="BW7" s="14">
        <f>BZ7-BT7</f>
        <v>320230</v>
      </c>
      <c r="BX7" s="18">
        <f t="shared" si="21"/>
        <v>-82.695751507900738</v>
      </c>
      <c r="BY7" s="17">
        <v>7338647</v>
      </c>
      <c r="BZ7" s="17">
        <v>3903762</v>
      </c>
      <c r="CA7" s="18">
        <f t="shared" si="22"/>
        <v>-46.805426122826191</v>
      </c>
      <c r="CB7" s="6"/>
    </row>
    <row r="8" spans="1:80" ht="19.5" customHeight="1" thickBot="1">
      <c r="A8" s="153"/>
      <c r="B8" s="126"/>
      <c r="C8" s="34" t="s">
        <v>105</v>
      </c>
      <c r="D8" s="19">
        <f t="shared" ref="D8:L8" si="23">D7/D6</f>
        <v>27.472145153476902</v>
      </c>
      <c r="E8" s="19">
        <f t="shared" si="23"/>
        <v>13.456619592906785</v>
      </c>
      <c r="F8" s="19">
        <f t="shared" si="23"/>
        <v>14.206855813255272</v>
      </c>
      <c r="G8" s="19">
        <f t="shared" si="23"/>
        <v>21.175241698506817</v>
      </c>
      <c r="H8" s="20">
        <f>H7/H6</f>
        <v>9.0814301599521006</v>
      </c>
      <c r="I8" s="20">
        <f>I7/I6</f>
        <v>29.35061016434712</v>
      </c>
      <c r="J8" s="20">
        <f>J7/J6</f>
        <v>45.107330985352782</v>
      </c>
      <c r="K8" s="20">
        <f t="shared" si="23"/>
        <v>68.270593230619923</v>
      </c>
      <c r="L8" s="20">
        <f t="shared" si="23"/>
        <v>321.65276430649857</v>
      </c>
      <c r="M8" s="47"/>
      <c r="N8" s="20">
        <f>N7/N6</f>
        <v>212.93440122044242</v>
      </c>
      <c r="O8" s="20">
        <f>O7/O6</f>
        <v>214.47606142728094</v>
      </c>
      <c r="P8" s="47"/>
      <c r="Q8" s="20">
        <f>Q7/Q6</f>
        <v>78.927122548744165</v>
      </c>
      <c r="R8" s="20">
        <f>R7/R6</f>
        <v>266.15949485500465</v>
      </c>
      <c r="S8" s="47"/>
      <c r="T8" s="20">
        <f>T7/T6</f>
        <v>56.424358974358974</v>
      </c>
      <c r="U8" s="20">
        <f>U7/U6</f>
        <v>135.29952076677316</v>
      </c>
      <c r="V8" s="47"/>
      <c r="W8" s="20">
        <f>W7/W6</f>
        <v>70.001389971861542</v>
      </c>
      <c r="X8" s="20">
        <f>X7/X6</f>
        <v>217.83008849557521</v>
      </c>
      <c r="Y8" s="47"/>
      <c r="Z8" s="20">
        <f>Z7/Z6</f>
        <v>33.2075200789698</v>
      </c>
      <c r="AA8" s="20">
        <f>AA7/AA6</f>
        <v>29.184342201610935</v>
      </c>
      <c r="AB8" s="47"/>
      <c r="AC8" s="20">
        <f>AC7/AC6</f>
        <v>54.165900664297851</v>
      </c>
      <c r="AD8" s="20">
        <f>AD7/AD6</f>
        <v>61.518707654970171</v>
      </c>
      <c r="AE8" s="47"/>
      <c r="AF8" s="20">
        <f>AF7/AF6</f>
        <v>41.792483660130721</v>
      </c>
      <c r="AG8" s="20">
        <f>AG7/AG6</f>
        <v>39.041093737722953</v>
      </c>
      <c r="AH8" s="47"/>
      <c r="AI8" s="20">
        <f>AI7/AI6</f>
        <v>51.172717690460857</v>
      </c>
      <c r="AJ8" s="20">
        <f>AJ7/AJ6</f>
        <v>52.717828026457468</v>
      </c>
      <c r="AK8" s="47"/>
      <c r="AL8" s="20">
        <f>AL7/AL6</f>
        <v>12.787546687635148</v>
      </c>
      <c r="AM8" s="20">
        <f>AM7/AM6</f>
        <v>15.533591293833132</v>
      </c>
      <c r="AN8" s="47"/>
      <c r="AO8" s="20">
        <f>AO7/AO6</f>
        <v>42.362694008301752</v>
      </c>
      <c r="AP8" s="20">
        <f>AP7/AP6</f>
        <v>38.261564497931552</v>
      </c>
      <c r="AQ8" s="47"/>
      <c r="AR8" s="20">
        <f>AR7/AR6</f>
        <v>35.493431473027115</v>
      </c>
      <c r="AS8" s="20">
        <f>AS7/AS6</f>
        <v>202.44870900209352</v>
      </c>
      <c r="AT8" s="47"/>
      <c r="AU8" s="20">
        <f>AU7/AU6</f>
        <v>41.620883598788595</v>
      </c>
      <c r="AV8" s="20">
        <f>AV7/AV6</f>
        <v>42.56969952209181</v>
      </c>
      <c r="AW8" s="47"/>
      <c r="AX8" s="20">
        <f>AX7/AX6</f>
        <v>141.8154376886589</v>
      </c>
      <c r="AY8" s="20">
        <f>AY7/AY6</f>
        <v>16.513959445964137</v>
      </c>
      <c r="AZ8" s="47"/>
      <c r="BA8" s="20">
        <f>BA7/BA6</f>
        <v>43.905376174932158</v>
      </c>
      <c r="BB8" s="20">
        <f>BB7/BB6</f>
        <v>34.84096646231518</v>
      </c>
      <c r="BC8" s="47"/>
      <c r="BD8" s="20">
        <f>BD7/BD6</f>
        <v>449.28066037735852</v>
      </c>
      <c r="BE8" s="20">
        <f>BE7/BE6</f>
        <v>60.80916585838991</v>
      </c>
      <c r="BF8" s="47"/>
      <c r="BG8" s="20">
        <f>BG7/BG6</f>
        <v>45.588287706105824</v>
      </c>
      <c r="BH8" s="20">
        <f>BH7/BH6</f>
        <v>36.150682418550041</v>
      </c>
      <c r="BI8" s="47"/>
      <c r="BJ8" s="20">
        <f>BJ7/BJ6</f>
        <v>99.574995410317612</v>
      </c>
      <c r="BK8" s="20">
        <f>BK7/BK6</f>
        <v>251.3145780051151</v>
      </c>
      <c r="BL8" s="47"/>
      <c r="BM8" s="20">
        <f>BM7/BM6</f>
        <v>48.321772836706046</v>
      </c>
      <c r="BN8" s="20">
        <f>BN7/BN6</f>
        <v>38.188940036341613</v>
      </c>
      <c r="BO8" s="47"/>
      <c r="BP8" s="20">
        <f>BP7/BP6</f>
        <v>26.954494695700724</v>
      </c>
      <c r="BQ8" s="20">
        <f>BQ7/BQ6</f>
        <v>16.043884463634335</v>
      </c>
      <c r="BR8" s="47"/>
      <c r="BS8" s="20">
        <f>BS7/BS6</f>
        <v>46.381246566659627</v>
      </c>
      <c r="BT8" s="20">
        <f>BT7/BT6</f>
        <v>32.751444030123565</v>
      </c>
      <c r="BU8" s="47"/>
      <c r="BV8" s="20">
        <f>BV7/BV6</f>
        <v>41.709926072845292</v>
      </c>
      <c r="BW8" s="20">
        <f>BW7/BW6</f>
        <v>82.068170169144025</v>
      </c>
      <c r="BX8" s="47"/>
      <c r="BY8" s="20">
        <f>BY7/BY6</f>
        <v>45.107330985352782</v>
      </c>
      <c r="BZ8" s="20">
        <f>BZ7/BZ6</f>
        <v>34.449619654423834</v>
      </c>
      <c r="CA8" s="47"/>
      <c r="CB8" s="6"/>
    </row>
    <row r="9" spans="1:80" s="1" customFormat="1" ht="19.5" customHeight="1">
      <c r="A9" s="164" t="s">
        <v>107</v>
      </c>
      <c r="B9" s="133" t="s">
        <v>26</v>
      </c>
      <c r="C9" s="32" t="s">
        <v>42</v>
      </c>
      <c r="D9" s="22">
        <v>19301</v>
      </c>
      <c r="E9" s="22">
        <v>76198</v>
      </c>
      <c r="F9" s="22">
        <v>621731</v>
      </c>
      <c r="G9" s="22">
        <v>261117</v>
      </c>
      <c r="H9" s="22">
        <v>281969</v>
      </c>
      <c r="I9" s="22">
        <v>95017</v>
      </c>
      <c r="J9" s="22">
        <v>98845</v>
      </c>
      <c r="K9" s="22">
        <v>100</v>
      </c>
      <c r="L9" s="22">
        <v>505</v>
      </c>
      <c r="M9" s="49">
        <f t="shared" si="0"/>
        <v>405</v>
      </c>
      <c r="N9" s="23">
        <f>Q9-K9</f>
        <v>1104</v>
      </c>
      <c r="O9" s="22">
        <f>R9-L9</f>
        <v>2</v>
      </c>
      <c r="P9" s="49">
        <f t="shared" si="1"/>
        <v>-99.818840579710141</v>
      </c>
      <c r="Q9" s="22">
        <v>1204</v>
      </c>
      <c r="R9" s="22">
        <v>507</v>
      </c>
      <c r="S9" s="49">
        <f t="shared" si="2"/>
        <v>-57.890365448504987</v>
      </c>
      <c r="T9" s="23">
        <f>W9-Q9</f>
        <v>5321</v>
      </c>
      <c r="U9" s="22">
        <f>X9-R9</f>
        <v>4</v>
      </c>
      <c r="V9" s="49">
        <f t="shared" ref="V9:V10" si="24">(U9/T9-1)*100</f>
        <v>-99.924826160496153</v>
      </c>
      <c r="W9" s="22">
        <v>6525</v>
      </c>
      <c r="X9" s="22">
        <v>511</v>
      </c>
      <c r="Y9" s="49">
        <f t="shared" ref="Y9:Y10" si="25">(X9/W9-1)*100</f>
        <v>-92.16858237547892</v>
      </c>
      <c r="Z9" s="23">
        <f>AC9-W9</f>
        <v>17002</v>
      </c>
      <c r="AA9" s="22">
        <f>AD9-X9</f>
        <v>526</v>
      </c>
      <c r="AB9" s="49">
        <f t="shared" ref="AB9:AB10" si="26">(AA9/Z9-1)*100</f>
        <v>-96.906246323961881</v>
      </c>
      <c r="AC9" s="22">
        <v>23527</v>
      </c>
      <c r="AD9" s="22">
        <v>1037</v>
      </c>
      <c r="AE9" s="49">
        <f t="shared" ref="AE9:AE10" si="27">(AD9/AC9-1)*100</f>
        <v>-95.592298210566582</v>
      </c>
      <c r="AF9" s="23">
        <f>AI9-AC9</f>
        <v>11046</v>
      </c>
      <c r="AG9" s="22">
        <f>AJ9-AD9</f>
        <v>609</v>
      </c>
      <c r="AH9" s="49">
        <f t="shared" ref="AH9:AH10" si="28">(AG9/AF9-1)*100</f>
        <v>-94.48669201520913</v>
      </c>
      <c r="AI9" s="22">
        <v>34573</v>
      </c>
      <c r="AJ9" s="22">
        <v>1646</v>
      </c>
      <c r="AK9" s="49">
        <f t="shared" ref="AK9:AK10" si="29">(AJ9/AI9-1)*100</f>
        <v>-95.239059381598352</v>
      </c>
      <c r="AL9" s="23">
        <f>AO9-AI9</f>
        <v>20120</v>
      </c>
      <c r="AM9" s="22">
        <f>AP9-AJ9</f>
        <v>20010</v>
      </c>
      <c r="AN9" s="49">
        <f t="shared" ref="AN9:AN10" si="30">(AM9/AL9-1)*100</f>
        <v>-0.54671968190854736</v>
      </c>
      <c r="AO9" s="22">
        <v>54693</v>
      </c>
      <c r="AP9" s="22">
        <v>21656</v>
      </c>
      <c r="AQ9" s="49">
        <f t="shared" ref="AQ9:AQ10" si="31">(AP9/AO9-1)*100</f>
        <v>-60.404439324959313</v>
      </c>
      <c r="AR9" s="23">
        <f>AU9-AO9</f>
        <v>10105</v>
      </c>
      <c r="AS9" s="22">
        <f>AV9-AP9</f>
        <v>1002</v>
      </c>
      <c r="AT9" s="49">
        <f t="shared" ref="AT9:AT10" si="32">(AS9/AR9-1)*100</f>
        <v>-90.084116773874328</v>
      </c>
      <c r="AU9" s="22">
        <v>64798</v>
      </c>
      <c r="AV9" s="22">
        <v>22658</v>
      </c>
      <c r="AW9" s="49">
        <f t="shared" ref="AW9:AW10" si="33">(AV9/AU9-1)*100</f>
        <v>-65.032871384919289</v>
      </c>
      <c r="AX9" s="23">
        <f>BA9-AU9</f>
        <v>1006</v>
      </c>
      <c r="AY9" s="22">
        <f>BB9-AV9</f>
        <v>20501</v>
      </c>
      <c r="AZ9" s="49">
        <f t="shared" ref="AZ9:AZ10" si="34">(AY9/AX9-1)*100</f>
        <v>1937.8727634194831</v>
      </c>
      <c r="BA9" s="22">
        <v>65804</v>
      </c>
      <c r="BB9" s="22">
        <v>43159</v>
      </c>
      <c r="BC9" s="49">
        <f t="shared" ref="BC9:BC10" si="35">(BB9/BA9-1)*100</f>
        <v>-34.412801653394929</v>
      </c>
      <c r="BD9" s="23">
        <f>BG9-BA9</f>
        <v>3</v>
      </c>
      <c r="BE9" s="22">
        <f>BH9-BB9</f>
        <v>1</v>
      </c>
      <c r="BF9" s="49">
        <f t="shared" ref="BF9:BF10" si="36">(BE9/BD9-1)*100</f>
        <v>-66.666666666666671</v>
      </c>
      <c r="BG9" s="22">
        <v>65807</v>
      </c>
      <c r="BH9" s="22">
        <v>43160</v>
      </c>
      <c r="BI9" s="49">
        <f t="shared" ref="BI9:BI10" si="37">(BH9/BG9-1)*100</f>
        <v>-34.414272037929095</v>
      </c>
      <c r="BJ9" s="23">
        <f>BM9-BG9</f>
        <v>1182</v>
      </c>
      <c r="BK9" s="22">
        <f>BN9-BH9</f>
        <v>501</v>
      </c>
      <c r="BL9" s="49">
        <f t="shared" ref="BL9:BL10" si="38">(BK9/BJ9-1)*100</f>
        <v>-57.614213197969541</v>
      </c>
      <c r="BM9" s="22">
        <v>66989</v>
      </c>
      <c r="BN9" s="22">
        <v>43661</v>
      </c>
      <c r="BO9" s="49">
        <f t="shared" ref="BO9:BO10" si="39">(BN9/BM9-1)*100</f>
        <v>-34.823627759781459</v>
      </c>
      <c r="BP9" s="23">
        <f>BS9-BM9</f>
        <v>10150</v>
      </c>
      <c r="BQ9" s="22">
        <f>BT9-BN9</f>
        <v>20057</v>
      </c>
      <c r="BR9" s="49">
        <f t="shared" ref="BR9:BR10" si="40">(BQ9/BP9-1)*100</f>
        <v>97.605911330049253</v>
      </c>
      <c r="BS9" s="22">
        <v>77139</v>
      </c>
      <c r="BT9" s="22">
        <v>63718</v>
      </c>
      <c r="BU9" s="49">
        <f t="shared" ref="BU9:BU10" si="41">(BT9/BS9-1)*100</f>
        <v>-17.398462515718382</v>
      </c>
      <c r="BV9" s="23">
        <f>BY9-BS9</f>
        <v>21706</v>
      </c>
      <c r="BW9" s="22">
        <f>BZ9-BT9</f>
        <v>2241</v>
      </c>
      <c r="BX9" s="49">
        <f t="shared" ref="BX9:BX10" si="42">(BW9/BV9-1)*100</f>
        <v>-89.67566571454897</v>
      </c>
      <c r="BY9" s="22">
        <v>98845</v>
      </c>
      <c r="BZ9" s="22">
        <v>65959</v>
      </c>
      <c r="CA9" s="49">
        <f t="shared" ref="CA9:CA10" si="43">(BZ9/BY9-1)*100</f>
        <v>-33.270271637412108</v>
      </c>
      <c r="CB9" s="6"/>
    </row>
    <row r="10" spans="1:80" s="1" customFormat="1" ht="19.5" customHeight="1">
      <c r="A10" s="152"/>
      <c r="B10" s="120"/>
      <c r="C10" s="33" t="s">
        <v>104</v>
      </c>
      <c r="D10" s="17">
        <v>167698</v>
      </c>
      <c r="E10" s="17">
        <v>477617</v>
      </c>
      <c r="F10" s="17">
        <v>5785452</v>
      </c>
      <c r="G10" s="17">
        <v>2869133</v>
      </c>
      <c r="H10" s="17">
        <v>2009037</v>
      </c>
      <c r="I10" s="17">
        <v>752006</v>
      </c>
      <c r="J10" s="17">
        <v>591057</v>
      </c>
      <c r="K10" s="17">
        <v>2781</v>
      </c>
      <c r="L10" s="17">
        <v>9057</v>
      </c>
      <c r="M10" s="51">
        <f t="shared" si="0"/>
        <v>225.67421790722761</v>
      </c>
      <c r="N10" s="14">
        <f>Q10-K10</f>
        <v>16715</v>
      </c>
      <c r="O10" s="14">
        <f>R10-L10</f>
        <v>4792</v>
      </c>
      <c r="P10" s="51">
        <f t="shared" si="1"/>
        <v>-71.331139694884826</v>
      </c>
      <c r="Q10" s="17">
        <v>19496</v>
      </c>
      <c r="R10" s="17">
        <v>13849</v>
      </c>
      <c r="S10" s="51">
        <f t="shared" si="2"/>
        <v>-28.964915880180552</v>
      </c>
      <c r="T10" s="14">
        <f>W10-Q10</f>
        <v>40858</v>
      </c>
      <c r="U10" s="14">
        <f>X10-R10</f>
        <v>1806</v>
      </c>
      <c r="V10" s="51">
        <f t="shared" si="24"/>
        <v>-95.579813010915856</v>
      </c>
      <c r="W10" s="17">
        <v>60354</v>
      </c>
      <c r="X10" s="17">
        <v>15655</v>
      </c>
      <c r="Y10" s="51">
        <f t="shared" si="25"/>
        <v>-74.061371242999627</v>
      </c>
      <c r="Z10" s="14">
        <f>AC10-W10</f>
        <v>107494</v>
      </c>
      <c r="AA10" s="14">
        <f>AD10-X10</f>
        <v>6216</v>
      </c>
      <c r="AB10" s="51">
        <f t="shared" si="26"/>
        <v>-94.217351666139507</v>
      </c>
      <c r="AC10" s="17">
        <v>167848</v>
      </c>
      <c r="AD10" s="17">
        <v>21871</v>
      </c>
      <c r="AE10" s="51">
        <f t="shared" si="27"/>
        <v>-86.969758352795395</v>
      </c>
      <c r="AF10" s="14">
        <f>AI10-AC10</f>
        <v>68598</v>
      </c>
      <c r="AG10" s="14">
        <f>AJ10-AD10</f>
        <v>6262</v>
      </c>
      <c r="AH10" s="51">
        <f t="shared" si="28"/>
        <v>-90.871453978250088</v>
      </c>
      <c r="AI10" s="17">
        <v>236446</v>
      </c>
      <c r="AJ10" s="17">
        <v>28133</v>
      </c>
      <c r="AK10" s="51">
        <f t="shared" si="29"/>
        <v>-88.101723014980166</v>
      </c>
      <c r="AL10" s="14">
        <f>AO10-AI10</f>
        <v>108990</v>
      </c>
      <c r="AM10" s="14">
        <f>AP10-AJ10</f>
        <v>104518</v>
      </c>
      <c r="AN10" s="51">
        <f t="shared" si="30"/>
        <v>-4.1031287274061796</v>
      </c>
      <c r="AO10" s="17">
        <v>345436</v>
      </c>
      <c r="AP10" s="17">
        <v>132651</v>
      </c>
      <c r="AQ10" s="51">
        <f t="shared" si="31"/>
        <v>-61.598964786530644</v>
      </c>
      <c r="AR10" s="14">
        <f>AU10-AO10</f>
        <v>58398</v>
      </c>
      <c r="AS10" s="14">
        <f>AV10-AP10</f>
        <v>7985</v>
      </c>
      <c r="AT10" s="51">
        <f t="shared" si="32"/>
        <v>-86.326586526935856</v>
      </c>
      <c r="AU10" s="17">
        <v>403834</v>
      </c>
      <c r="AV10" s="17">
        <v>140636</v>
      </c>
      <c r="AW10" s="51">
        <f t="shared" si="33"/>
        <v>-65.174799546348254</v>
      </c>
      <c r="AX10" s="14">
        <f>BA10-AU10</f>
        <v>9481</v>
      </c>
      <c r="AY10" s="14">
        <f>BB10-AV10</f>
        <v>68585</v>
      </c>
      <c r="AZ10" s="51">
        <f t="shared" si="34"/>
        <v>623.39415673452163</v>
      </c>
      <c r="BA10" s="17">
        <v>413315</v>
      </c>
      <c r="BB10" s="17">
        <v>209221</v>
      </c>
      <c r="BC10" s="51">
        <f t="shared" si="35"/>
        <v>-49.37977087693406</v>
      </c>
      <c r="BD10" s="14">
        <f>BG10-BA10</f>
        <v>4136</v>
      </c>
      <c r="BE10" s="14">
        <f>BH10-BB10</f>
        <v>1425</v>
      </c>
      <c r="BF10" s="51">
        <f t="shared" si="36"/>
        <v>-65.546421663442928</v>
      </c>
      <c r="BG10" s="17">
        <v>417451</v>
      </c>
      <c r="BH10" s="17">
        <v>210646</v>
      </c>
      <c r="BI10" s="51">
        <f t="shared" si="37"/>
        <v>-49.539946005638988</v>
      </c>
      <c r="BJ10" s="14">
        <f>BM10-BG10</f>
        <v>20377</v>
      </c>
      <c r="BK10" s="14">
        <f>BN10-BH10</f>
        <v>6362</v>
      </c>
      <c r="BL10" s="51">
        <f t="shared" si="38"/>
        <v>-68.778524807380876</v>
      </c>
      <c r="BM10" s="17">
        <v>437828</v>
      </c>
      <c r="BN10" s="17">
        <v>217008</v>
      </c>
      <c r="BO10" s="51">
        <f t="shared" si="39"/>
        <v>-50.435330769160494</v>
      </c>
      <c r="BP10" s="14">
        <f>BS10-BM10</f>
        <v>47371</v>
      </c>
      <c r="BQ10" s="14">
        <f>BT10-BN10</f>
        <v>64508</v>
      </c>
      <c r="BR10" s="51">
        <f t="shared" si="40"/>
        <v>36.176141521183844</v>
      </c>
      <c r="BS10" s="17">
        <v>485199</v>
      </c>
      <c r="BT10" s="17">
        <v>281516</v>
      </c>
      <c r="BU10" s="51">
        <f t="shared" si="41"/>
        <v>-41.979270361233226</v>
      </c>
      <c r="BV10" s="14">
        <f>BY10-BS10</f>
        <v>105858</v>
      </c>
      <c r="BW10" s="14">
        <f>BZ10-BT10</f>
        <v>43950</v>
      </c>
      <c r="BX10" s="51">
        <f t="shared" si="42"/>
        <v>-58.482117553704015</v>
      </c>
      <c r="BY10" s="17">
        <v>591057</v>
      </c>
      <c r="BZ10" s="17">
        <v>325466</v>
      </c>
      <c r="CA10" s="51">
        <f t="shared" si="43"/>
        <v>-44.934921674220931</v>
      </c>
      <c r="CB10" s="6"/>
    </row>
    <row r="11" spans="1:80" s="1" customFormat="1" ht="19.5" customHeight="1" thickBot="1">
      <c r="A11" s="153"/>
      <c r="B11" s="121"/>
      <c r="C11" s="34" t="s">
        <v>105</v>
      </c>
      <c r="D11" s="19">
        <f t="shared" ref="D11:L11" si="44">D10/D9</f>
        <v>8.6885653593078072</v>
      </c>
      <c r="E11" s="19">
        <f t="shared" si="44"/>
        <v>6.2681041497152155</v>
      </c>
      <c r="F11" s="19">
        <f t="shared" si="44"/>
        <v>9.3053941334757315</v>
      </c>
      <c r="G11" s="19">
        <f t="shared" si="44"/>
        <v>10.987921123481044</v>
      </c>
      <c r="H11" s="20">
        <f>H10/H9</f>
        <v>7.1250279286020808</v>
      </c>
      <c r="I11" s="20">
        <f>I10/I9</f>
        <v>7.9144363640190702</v>
      </c>
      <c r="J11" s="20">
        <f>J10/J9</f>
        <v>5.9796347817289695</v>
      </c>
      <c r="K11" s="20">
        <f t="shared" si="44"/>
        <v>27.81</v>
      </c>
      <c r="L11" s="20">
        <f t="shared" si="44"/>
        <v>17.934653465346535</v>
      </c>
      <c r="M11" s="47"/>
      <c r="N11" s="20">
        <f>N10/N9</f>
        <v>15.140398550724637</v>
      </c>
      <c r="O11" s="20">
        <f>O10/O9</f>
        <v>2396</v>
      </c>
      <c r="P11" s="47"/>
      <c r="Q11" s="20">
        <f>Q10/Q9</f>
        <v>16.192691029900331</v>
      </c>
      <c r="R11" s="20">
        <f>R10/R9</f>
        <v>27.315581854043394</v>
      </c>
      <c r="S11" s="47"/>
      <c r="T11" s="20">
        <f>T10/T9</f>
        <v>7.6786318361210295</v>
      </c>
      <c r="U11" s="20">
        <f>U10/U9</f>
        <v>451.5</v>
      </c>
      <c r="V11" s="47"/>
      <c r="W11" s="20">
        <f>W10/W9</f>
        <v>9.2496551724137923</v>
      </c>
      <c r="X11" s="20">
        <f>X10/X9</f>
        <v>30.636007827788649</v>
      </c>
      <c r="Y11" s="47"/>
      <c r="Z11" s="20">
        <f>Z10/Z9</f>
        <v>6.3224326549817667</v>
      </c>
      <c r="AA11" s="20">
        <f>AA10/AA9</f>
        <v>11.817490494296578</v>
      </c>
      <c r="AB11" s="47"/>
      <c r="AC11" s="20">
        <f>AC10/AC9</f>
        <v>7.1342712628044378</v>
      </c>
      <c r="AD11" s="20">
        <f>AD10/AD9</f>
        <v>21.090646094503374</v>
      </c>
      <c r="AE11" s="47"/>
      <c r="AF11" s="20">
        <f>AF10/AF9</f>
        <v>6.2102118413905485</v>
      </c>
      <c r="AG11" s="20">
        <f>AG10/AG9</f>
        <v>10.282430213464696</v>
      </c>
      <c r="AH11" s="47"/>
      <c r="AI11" s="20">
        <f>AI10/AI9</f>
        <v>6.8390362421542825</v>
      </c>
      <c r="AJ11" s="20">
        <f>AJ10/AJ9</f>
        <v>17.091737545565007</v>
      </c>
      <c r="AK11" s="47"/>
      <c r="AL11" s="20">
        <f>AL10/AL9</f>
        <v>5.4169980119284293</v>
      </c>
      <c r="AM11" s="20">
        <f>AM10/AM9</f>
        <v>5.2232883558220893</v>
      </c>
      <c r="AN11" s="47"/>
      <c r="AO11" s="20">
        <f>AO10/AO9</f>
        <v>6.3159088000292538</v>
      </c>
      <c r="AP11" s="20">
        <f>AP10/AP9</f>
        <v>6.125369412633912</v>
      </c>
      <c r="AQ11" s="47"/>
      <c r="AR11" s="20">
        <f>AR10/AR9</f>
        <v>5.7791192478970803</v>
      </c>
      <c r="AS11" s="20">
        <f>AS10/AS9</f>
        <v>7.9690618762475047</v>
      </c>
      <c r="AT11" s="47"/>
      <c r="AU11" s="20">
        <f>AU10/AU9</f>
        <v>6.2321985246458222</v>
      </c>
      <c r="AV11" s="20">
        <f>AV10/AV9</f>
        <v>6.2069026392444169</v>
      </c>
      <c r="AW11" s="47"/>
      <c r="AX11" s="20">
        <f>AX10/AX9</f>
        <v>9.424453280318092</v>
      </c>
      <c r="AY11" s="20">
        <f>AY10/AY9</f>
        <v>3.3454465635822643</v>
      </c>
      <c r="AZ11" s="47"/>
      <c r="BA11" s="20">
        <f>BA10/BA9</f>
        <v>6.2810011549449882</v>
      </c>
      <c r="BB11" s="20">
        <f>BB10/BB9</f>
        <v>4.8476795106466781</v>
      </c>
      <c r="BC11" s="47"/>
      <c r="BD11" s="20">
        <f>BD10/BD9</f>
        <v>1378.6666666666667</v>
      </c>
      <c r="BE11" s="20">
        <f>BE10/BE9</f>
        <v>1425</v>
      </c>
      <c r="BF11" s="47"/>
      <c r="BG11" s="20">
        <f>BG10/BG9</f>
        <v>6.3435652742109498</v>
      </c>
      <c r="BH11" s="20">
        <f>BH10/BH9</f>
        <v>4.8805838739573684</v>
      </c>
      <c r="BI11" s="47"/>
      <c r="BJ11" s="20">
        <f>BJ10/BJ9</f>
        <v>17.239424703891707</v>
      </c>
      <c r="BK11" s="20">
        <f>BK10/BK9</f>
        <v>12.698602794411178</v>
      </c>
      <c r="BL11" s="47"/>
      <c r="BM11" s="20">
        <f>BM10/BM9</f>
        <v>6.5358193136186538</v>
      </c>
      <c r="BN11" s="20">
        <f>BN10/BN9</f>
        <v>4.9702938549277391</v>
      </c>
      <c r="BO11" s="47"/>
      <c r="BP11" s="20">
        <f>BP10/BP9</f>
        <v>4.6670935960591136</v>
      </c>
      <c r="BQ11" s="20">
        <f>BQ10/BQ9</f>
        <v>3.2162337338585032</v>
      </c>
      <c r="BR11" s="47"/>
      <c r="BS11" s="20">
        <f>BS10/BS9</f>
        <v>6.2899311632248276</v>
      </c>
      <c r="BT11" s="20">
        <f>BT10/BT9</f>
        <v>4.4181549954486954</v>
      </c>
      <c r="BU11" s="47"/>
      <c r="BV11" s="20">
        <f>BV10/BV9</f>
        <v>4.8769003962038147</v>
      </c>
      <c r="BW11" s="20">
        <f>BW10/BW9</f>
        <v>19.611780455153948</v>
      </c>
      <c r="BX11" s="47"/>
      <c r="BY11" s="20">
        <f>BY10/BY9</f>
        <v>5.9796347817289695</v>
      </c>
      <c r="BZ11" s="20">
        <f>BZ10/BZ9</f>
        <v>4.9343683197137613</v>
      </c>
      <c r="CA11" s="47"/>
      <c r="CB11" s="6"/>
    </row>
    <row r="12" spans="1:80" s="1" customFormat="1" ht="19.5" customHeight="1">
      <c r="A12" s="164" t="s">
        <v>108</v>
      </c>
      <c r="B12" s="114" t="s">
        <v>72</v>
      </c>
      <c r="C12" s="32" t="s">
        <v>42</v>
      </c>
      <c r="D12" s="22">
        <v>1</v>
      </c>
      <c r="E12" s="22">
        <v>2</v>
      </c>
      <c r="F12" s="22">
        <v>1</v>
      </c>
      <c r="G12" s="22">
        <v>5</v>
      </c>
      <c r="H12" s="22">
        <v>112</v>
      </c>
      <c r="I12" s="22">
        <v>144</v>
      </c>
      <c r="J12" s="22">
        <v>248</v>
      </c>
      <c r="K12" s="22">
        <v>0</v>
      </c>
      <c r="L12" s="22">
        <v>0</v>
      </c>
      <c r="M12" s="15" t="e">
        <f t="shared" si="0"/>
        <v>#DIV/0!</v>
      </c>
      <c r="N12" s="23">
        <f>Q12-K12</f>
        <v>1</v>
      </c>
      <c r="O12" s="22">
        <f>R12-L12</f>
        <v>1</v>
      </c>
      <c r="P12" s="15">
        <f t="shared" si="1"/>
        <v>0</v>
      </c>
      <c r="Q12" s="22">
        <v>1</v>
      </c>
      <c r="R12" s="22">
        <v>1</v>
      </c>
      <c r="S12" s="15">
        <f t="shared" si="2"/>
        <v>0</v>
      </c>
      <c r="T12" s="23">
        <f>W12-Q12</f>
        <v>1</v>
      </c>
      <c r="U12" s="22">
        <f>X12-R12</f>
        <v>0</v>
      </c>
      <c r="V12" s="15">
        <f t="shared" ref="V12:V13" si="45">(U12/T12-1)*100</f>
        <v>-100</v>
      </c>
      <c r="W12" s="22">
        <v>2</v>
      </c>
      <c r="X12" s="22">
        <v>1</v>
      </c>
      <c r="Y12" s="15">
        <f t="shared" ref="Y12:Y13" si="46">(X12/W12-1)*100</f>
        <v>-50</v>
      </c>
      <c r="Z12" s="23">
        <f>AC12-W12</f>
        <v>20</v>
      </c>
      <c r="AA12" s="22">
        <f>AD12-X12</f>
        <v>1</v>
      </c>
      <c r="AB12" s="15">
        <f t="shared" ref="AB12:AB13" si="47">(AA12/Z12-1)*100</f>
        <v>-95</v>
      </c>
      <c r="AC12" s="22">
        <v>22</v>
      </c>
      <c r="AD12" s="22">
        <v>2</v>
      </c>
      <c r="AE12" s="15">
        <f t="shared" ref="AE12:AE13" si="48">(AD12/AC12-1)*100</f>
        <v>-90.909090909090907</v>
      </c>
      <c r="AF12" s="23">
        <f>AI12-AC12</f>
        <v>127</v>
      </c>
      <c r="AG12" s="22">
        <f>AJ12-AD12</f>
        <v>0</v>
      </c>
      <c r="AH12" s="15">
        <f t="shared" ref="AH12:AH13" si="49">(AG12/AF12-1)*100</f>
        <v>-100</v>
      </c>
      <c r="AI12" s="22">
        <v>149</v>
      </c>
      <c r="AJ12" s="22">
        <v>2</v>
      </c>
      <c r="AK12" s="15">
        <f t="shared" ref="AK12:AK13" si="50">(AJ12/AI12-1)*100</f>
        <v>-98.65771812080537</v>
      </c>
      <c r="AL12" s="23">
        <f>AO12-AI12</f>
        <v>0</v>
      </c>
      <c r="AM12" s="22">
        <f>AP12-AJ12</f>
        <v>0</v>
      </c>
      <c r="AN12" s="15" t="e">
        <f t="shared" ref="AN12:AN13" si="51">(AM12/AL12-1)*100</f>
        <v>#DIV/0!</v>
      </c>
      <c r="AO12" s="22">
        <v>149</v>
      </c>
      <c r="AP12" s="22">
        <v>2</v>
      </c>
      <c r="AQ12" s="15">
        <f t="shared" ref="AQ12:AQ13" si="52">(AP12/AO12-1)*100</f>
        <v>-98.65771812080537</v>
      </c>
      <c r="AR12" s="23">
        <f>AU12-AO12</f>
        <v>56</v>
      </c>
      <c r="AS12" s="22">
        <f>AV12-AP12</f>
        <v>0</v>
      </c>
      <c r="AT12" s="15">
        <f t="shared" ref="AT12:AT13" si="53">(AS12/AR12-1)*100</f>
        <v>-100</v>
      </c>
      <c r="AU12" s="22">
        <v>205</v>
      </c>
      <c r="AV12" s="22">
        <v>2</v>
      </c>
      <c r="AW12" s="15">
        <f t="shared" ref="AW12:AW13" si="54">(AV12/AU12-1)*100</f>
        <v>-99.024390243902445</v>
      </c>
      <c r="AX12" s="23">
        <f>BA12-AU12</f>
        <v>39</v>
      </c>
      <c r="AY12" s="22">
        <f>BB12-AV12</f>
        <v>0</v>
      </c>
      <c r="AZ12" s="15">
        <f t="shared" ref="AZ12:AZ13" si="55">(AY12/AX12-1)*100</f>
        <v>-100</v>
      </c>
      <c r="BA12" s="22">
        <v>244</v>
      </c>
      <c r="BB12" s="22">
        <v>2</v>
      </c>
      <c r="BC12" s="15">
        <f t="shared" ref="BC12:BC13" si="56">(BB12/BA12-1)*100</f>
        <v>-99.180327868852459</v>
      </c>
      <c r="BD12" s="23">
        <f>BG12-BA12</f>
        <v>0</v>
      </c>
      <c r="BE12" s="22">
        <f>BH12-BB12</f>
        <v>1</v>
      </c>
      <c r="BF12" s="15" t="e">
        <f t="shared" ref="BF12:BF13" si="57">(BE12/BD12-1)*100</f>
        <v>#DIV/0!</v>
      </c>
      <c r="BG12" s="22">
        <v>244</v>
      </c>
      <c r="BH12" s="22">
        <v>3</v>
      </c>
      <c r="BI12" s="15">
        <f t="shared" ref="BI12:BI13" si="58">(BH12/BG12-1)*100</f>
        <v>-98.770491803278688</v>
      </c>
      <c r="BJ12" s="23">
        <f>BM12-BG12</f>
        <v>1</v>
      </c>
      <c r="BK12" s="22">
        <f>BN12-BH12</f>
        <v>0</v>
      </c>
      <c r="BL12" s="15">
        <f t="shared" ref="BL12:BL13" si="59">(BK12/BJ12-1)*100</f>
        <v>-100</v>
      </c>
      <c r="BM12" s="22">
        <v>245</v>
      </c>
      <c r="BN12" s="22">
        <v>3</v>
      </c>
      <c r="BO12" s="15">
        <f t="shared" ref="BO12:BO13" si="60">(BN12/BM12-1)*100</f>
        <v>-98.775510204081627</v>
      </c>
      <c r="BP12" s="23">
        <f>BS12-BM12</f>
        <v>1</v>
      </c>
      <c r="BQ12" s="22">
        <f>BT12-BN12</f>
        <v>0</v>
      </c>
      <c r="BR12" s="15">
        <f t="shared" ref="BR12:BR13" si="61">(BQ12/BP12-1)*100</f>
        <v>-100</v>
      </c>
      <c r="BS12" s="22">
        <v>246</v>
      </c>
      <c r="BT12" s="22">
        <v>3</v>
      </c>
      <c r="BU12" s="15">
        <f t="shared" ref="BU12:BU13" si="62">(BT12/BS12-1)*100</f>
        <v>-98.780487804878049</v>
      </c>
      <c r="BV12" s="23">
        <f>BY12-BS12</f>
        <v>2</v>
      </c>
      <c r="BW12" s="22">
        <f>BZ12-BT12</f>
        <v>1</v>
      </c>
      <c r="BX12" s="15">
        <f t="shared" ref="BX12:BX13" si="63">(BW12/BV12-1)*100</f>
        <v>-50</v>
      </c>
      <c r="BY12" s="22">
        <v>248</v>
      </c>
      <c r="BZ12" s="22">
        <v>4</v>
      </c>
      <c r="CA12" s="15">
        <f t="shared" ref="CA12:CA13" si="64">(BZ12/BY12-1)*100</f>
        <v>-98.387096774193552</v>
      </c>
      <c r="CB12" s="6"/>
    </row>
    <row r="13" spans="1:80" s="1" customFormat="1" ht="19.5" customHeight="1">
      <c r="A13" s="152"/>
      <c r="B13" s="120"/>
      <c r="C13" s="33" t="s">
        <v>104</v>
      </c>
      <c r="D13" s="17">
        <v>272</v>
      </c>
      <c r="E13" s="17">
        <v>530</v>
      </c>
      <c r="F13" s="17">
        <v>4422</v>
      </c>
      <c r="G13" s="17">
        <v>3865</v>
      </c>
      <c r="H13" s="17">
        <v>21915</v>
      </c>
      <c r="I13" s="17">
        <v>37649</v>
      </c>
      <c r="J13" s="17">
        <v>42251</v>
      </c>
      <c r="K13" s="17">
        <v>851</v>
      </c>
      <c r="L13" s="17">
        <v>0</v>
      </c>
      <c r="M13" s="18">
        <f t="shared" si="0"/>
        <v>-100</v>
      </c>
      <c r="N13" s="14">
        <f>Q13-K13</f>
        <v>1166</v>
      </c>
      <c r="O13" s="14">
        <f>R13-L13</f>
        <v>3883</v>
      </c>
      <c r="P13" s="18">
        <f t="shared" si="1"/>
        <v>233.01886792452828</v>
      </c>
      <c r="Q13" s="17">
        <v>2017</v>
      </c>
      <c r="R13" s="17">
        <v>3883</v>
      </c>
      <c r="S13" s="18">
        <f t="shared" si="2"/>
        <v>92.513634110064459</v>
      </c>
      <c r="T13" s="14">
        <f>W13-Q13</f>
        <v>1678</v>
      </c>
      <c r="U13" s="14">
        <f>X13-R13</f>
        <v>0</v>
      </c>
      <c r="V13" s="18">
        <f t="shared" si="45"/>
        <v>-100</v>
      </c>
      <c r="W13" s="17">
        <v>3695</v>
      </c>
      <c r="X13" s="17">
        <v>3883</v>
      </c>
      <c r="Y13" s="18">
        <f t="shared" si="46"/>
        <v>5.0879566982408697</v>
      </c>
      <c r="Z13" s="14">
        <f>AC13-W13</f>
        <v>3461</v>
      </c>
      <c r="AA13" s="14">
        <f>AD13-X13</f>
        <v>156</v>
      </c>
      <c r="AB13" s="18">
        <f t="shared" si="47"/>
        <v>-95.49263218722912</v>
      </c>
      <c r="AC13" s="17">
        <v>7156</v>
      </c>
      <c r="AD13" s="17">
        <v>4039</v>
      </c>
      <c r="AE13" s="18">
        <f t="shared" si="48"/>
        <v>-43.557853549468973</v>
      </c>
      <c r="AF13" s="14">
        <f>AI13-AC13</f>
        <v>18209</v>
      </c>
      <c r="AG13" s="14">
        <f>AJ13-AD13</f>
        <v>371</v>
      </c>
      <c r="AH13" s="18">
        <f t="shared" si="49"/>
        <v>-97.962545993739354</v>
      </c>
      <c r="AI13" s="17">
        <v>25365</v>
      </c>
      <c r="AJ13" s="17">
        <v>4410</v>
      </c>
      <c r="AK13" s="18">
        <f t="shared" si="50"/>
        <v>-82.613837965700768</v>
      </c>
      <c r="AL13" s="14">
        <f>AO13-AI13</f>
        <v>72</v>
      </c>
      <c r="AM13" s="14">
        <f>AP13-AJ13</f>
        <v>0</v>
      </c>
      <c r="AN13" s="18">
        <f t="shared" si="51"/>
        <v>-100</v>
      </c>
      <c r="AO13" s="17">
        <v>25437</v>
      </c>
      <c r="AP13" s="17">
        <v>4410</v>
      </c>
      <c r="AQ13" s="18">
        <f t="shared" si="52"/>
        <v>-82.663049887958479</v>
      </c>
      <c r="AR13" s="14">
        <f>AU13-AO13</f>
        <v>6792</v>
      </c>
      <c r="AS13" s="14">
        <f>AV13-AP13</f>
        <v>0</v>
      </c>
      <c r="AT13" s="18">
        <f t="shared" si="53"/>
        <v>-100</v>
      </c>
      <c r="AU13" s="17">
        <v>32229</v>
      </c>
      <c r="AV13" s="17">
        <v>4410</v>
      </c>
      <c r="AW13" s="18">
        <f t="shared" si="54"/>
        <v>-86.316671320860095</v>
      </c>
      <c r="AX13" s="14">
        <f>BA13-AU13</f>
        <v>5192</v>
      </c>
      <c r="AY13" s="14">
        <f>BB13-AV13</f>
        <v>153</v>
      </c>
      <c r="AZ13" s="18">
        <f t="shared" si="55"/>
        <v>-97.05315870570108</v>
      </c>
      <c r="BA13" s="17">
        <v>37421</v>
      </c>
      <c r="BB13" s="17">
        <v>4563</v>
      </c>
      <c r="BC13" s="18">
        <f t="shared" si="56"/>
        <v>-87.806311963870556</v>
      </c>
      <c r="BD13" s="14">
        <f>BG13-BA13</f>
        <v>493</v>
      </c>
      <c r="BE13" s="14">
        <f>BH13-BB13</f>
        <v>617</v>
      </c>
      <c r="BF13" s="18">
        <f t="shared" si="57"/>
        <v>25.152129817444212</v>
      </c>
      <c r="BG13" s="17">
        <v>37914</v>
      </c>
      <c r="BH13" s="17">
        <v>5180</v>
      </c>
      <c r="BI13" s="18">
        <f t="shared" si="58"/>
        <v>-86.337500659387032</v>
      </c>
      <c r="BJ13" s="14">
        <f>BM13-BG13</f>
        <v>1810</v>
      </c>
      <c r="BK13" s="14">
        <f>BN13-BH13</f>
        <v>0</v>
      </c>
      <c r="BL13" s="18">
        <f t="shared" si="59"/>
        <v>-100</v>
      </c>
      <c r="BM13" s="17">
        <v>39724</v>
      </c>
      <c r="BN13" s="17">
        <v>5180</v>
      </c>
      <c r="BO13" s="18">
        <f t="shared" si="60"/>
        <v>-86.960024166750586</v>
      </c>
      <c r="BP13" s="14">
        <f>BS13-BM13</f>
        <v>1735</v>
      </c>
      <c r="BQ13" s="14">
        <f>BT13-BN13</f>
        <v>77</v>
      </c>
      <c r="BR13" s="18">
        <f t="shared" si="61"/>
        <v>-95.561959654178679</v>
      </c>
      <c r="BS13" s="17">
        <v>41459</v>
      </c>
      <c r="BT13" s="17">
        <v>5257</v>
      </c>
      <c r="BU13" s="18">
        <f t="shared" si="62"/>
        <v>-87.320002894425812</v>
      </c>
      <c r="BV13" s="14">
        <f>BY13-BS13</f>
        <v>792</v>
      </c>
      <c r="BW13" s="14">
        <f>BZ13-BT13</f>
        <v>1375</v>
      </c>
      <c r="BX13" s="18">
        <f t="shared" si="63"/>
        <v>73.611111111111114</v>
      </c>
      <c r="BY13" s="17">
        <v>42251</v>
      </c>
      <c r="BZ13" s="17">
        <v>6632</v>
      </c>
      <c r="CA13" s="18">
        <f t="shared" si="64"/>
        <v>-84.303330098695881</v>
      </c>
      <c r="CB13" s="6"/>
    </row>
    <row r="14" spans="1:80" s="1" customFormat="1" ht="19.5" customHeight="1" thickBot="1">
      <c r="A14" s="153"/>
      <c r="B14" s="121"/>
      <c r="C14" s="34" t="s">
        <v>105</v>
      </c>
      <c r="D14" s="19">
        <f t="shared" ref="D14:L14" si="65">D13/D12</f>
        <v>272</v>
      </c>
      <c r="E14" s="19">
        <f t="shared" si="65"/>
        <v>265</v>
      </c>
      <c r="F14" s="19">
        <f t="shared" si="65"/>
        <v>4422</v>
      </c>
      <c r="G14" s="19">
        <f t="shared" si="65"/>
        <v>773</v>
      </c>
      <c r="H14" s="20">
        <f>H13/H12</f>
        <v>195.66964285714286</v>
      </c>
      <c r="I14" s="20">
        <f>I13/I12</f>
        <v>261.45138888888891</v>
      </c>
      <c r="J14" s="20">
        <f>J13/J12</f>
        <v>170.36693548387098</v>
      </c>
      <c r="K14" s="20" t="e">
        <f t="shared" si="65"/>
        <v>#DIV/0!</v>
      </c>
      <c r="L14" s="20" t="e">
        <f t="shared" si="65"/>
        <v>#DIV/0!</v>
      </c>
      <c r="M14" s="47"/>
      <c r="N14" s="20">
        <f>N13/N12</f>
        <v>1166</v>
      </c>
      <c r="O14" s="20">
        <f>O13/O12</f>
        <v>3883</v>
      </c>
      <c r="P14" s="47"/>
      <c r="Q14" s="20">
        <f>Q13/Q12</f>
        <v>2017</v>
      </c>
      <c r="R14" s="20">
        <f>R13/R12</f>
        <v>3883</v>
      </c>
      <c r="S14" s="47"/>
      <c r="T14" s="20">
        <f>T13/T12</f>
        <v>1678</v>
      </c>
      <c r="U14" s="20" t="e">
        <f>U13/U12</f>
        <v>#DIV/0!</v>
      </c>
      <c r="V14" s="47"/>
      <c r="W14" s="20">
        <f>W13/W12</f>
        <v>1847.5</v>
      </c>
      <c r="X14" s="20">
        <f>X13/X12</f>
        <v>3883</v>
      </c>
      <c r="Y14" s="47"/>
      <c r="Z14" s="20">
        <f>Z13/Z12</f>
        <v>173.05</v>
      </c>
      <c r="AA14" s="20">
        <f>AA13/AA12</f>
        <v>156</v>
      </c>
      <c r="AB14" s="47"/>
      <c r="AC14" s="20">
        <f>AC13/AC12</f>
        <v>325.27272727272725</v>
      </c>
      <c r="AD14" s="20">
        <f>AD13/AD12</f>
        <v>2019.5</v>
      </c>
      <c r="AE14" s="47"/>
      <c r="AF14" s="20">
        <f>AF13/AF12</f>
        <v>143.37795275590551</v>
      </c>
      <c r="AG14" s="20" t="e">
        <f>AG13/AG12</f>
        <v>#DIV/0!</v>
      </c>
      <c r="AH14" s="47"/>
      <c r="AI14" s="20">
        <f>AI13/AI12</f>
        <v>170.23489932885906</v>
      </c>
      <c r="AJ14" s="20">
        <f>AJ13/AJ12</f>
        <v>2205</v>
      </c>
      <c r="AK14" s="47"/>
      <c r="AL14" s="20" t="e">
        <f>AL13/AL12</f>
        <v>#DIV/0!</v>
      </c>
      <c r="AM14" s="20" t="e">
        <f>AM13/AM12</f>
        <v>#DIV/0!</v>
      </c>
      <c r="AN14" s="47"/>
      <c r="AO14" s="20">
        <f>AO13/AO12</f>
        <v>170.71812080536913</v>
      </c>
      <c r="AP14" s="20">
        <f>AP13/AP12</f>
        <v>2205</v>
      </c>
      <c r="AQ14" s="47"/>
      <c r="AR14" s="20">
        <f>AR13/AR12</f>
        <v>121.28571428571429</v>
      </c>
      <c r="AS14" s="20" t="e">
        <f>AS13/AS12</f>
        <v>#DIV/0!</v>
      </c>
      <c r="AT14" s="47"/>
      <c r="AU14" s="20">
        <f>AU13/AU12</f>
        <v>157.21463414634147</v>
      </c>
      <c r="AV14" s="20">
        <f>AV13/AV12</f>
        <v>2205</v>
      </c>
      <c r="AW14" s="47"/>
      <c r="AX14" s="20">
        <f>AX13/AX12</f>
        <v>133.12820512820514</v>
      </c>
      <c r="AY14" s="20" t="e">
        <f>AY13/AY12</f>
        <v>#DIV/0!</v>
      </c>
      <c r="AZ14" s="47"/>
      <c r="BA14" s="20">
        <f>BA13/BA12</f>
        <v>153.36475409836066</v>
      </c>
      <c r="BB14" s="20">
        <f>BB13/BB12</f>
        <v>2281.5</v>
      </c>
      <c r="BC14" s="47"/>
      <c r="BD14" s="20" t="e">
        <f>BD13/BD12</f>
        <v>#DIV/0!</v>
      </c>
      <c r="BE14" s="20">
        <f>BE13/BE12</f>
        <v>617</v>
      </c>
      <c r="BF14" s="47"/>
      <c r="BG14" s="20">
        <f>BG13/BG12</f>
        <v>155.38524590163934</v>
      </c>
      <c r="BH14" s="20">
        <f>BH13/BH12</f>
        <v>1726.6666666666667</v>
      </c>
      <c r="BI14" s="47"/>
      <c r="BJ14" s="20">
        <f>BJ13/BJ12</f>
        <v>1810</v>
      </c>
      <c r="BK14" s="20" t="e">
        <f>BK13/BK12</f>
        <v>#DIV/0!</v>
      </c>
      <c r="BL14" s="47"/>
      <c r="BM14" s="20">
        <f>BM13/BM12</f>
        <v>162.13877551020408</v>
      </c>
      <c r="BN14" s="20">
        <f>BN13/BN12</f>
        <v>1726.6666666666667</v>
      </c>
      <c r="BO14" s="47"/>
      <c r="BP14" s="20">
        <f>BP13/BP12</f>
        <v>1735</v>
      </c>
      <c r="BQ14" s="20" t="e">
        <f>BQ13/BQ12</f>
        <v>#DIV/0!</v>
      </c>
      <c r="BR14" s="47"/>
      <c r="BS14" s="20">
        <f>BS13/BS12</f>
        <v>168.53252032520325</v>
      </c>
      <c r="BT14" s="20">
        <f>BT13/BT12</f>
        <v>1752.3333333333333</v>
      </c>
      <c r="BU14" s="47"/>
      <c r="BV14" s="20">
        <f>BV13/BV12</f>
        <v>396</v>
      </c>
      <c r="BW14" s="20">
        <f>BW13/BW12</f>
        <v>1375</v>
      </c>
      <c r="BX14" s="47"/>
      <c r="BY14" s="20">
        <f>BY13/BY12</f>
        <v>170.36693548387098</v>
      </c>
      <c r="BZ14" s="20">
        <f>BZ13/BZ12</f>
        <v>1658</v>
      </c>
      <c r="CA14" s="47"/>
      <c r="CB14" s="6"/>
    </row>
    <row r="15" spans="1:80" s="1" customFormat="1" ht="19.5" customHeight="1">
      <c r="A15" s="164" t="s">
        <v>109</v>
      </c>
      <c r="B15" s="114" t="s">
        <v>27</v>
      </c>
      <c r="C15" s="32" t="s">
        <v>42</v>
      </c>
      <c r="D15" s="22">
        <v>504</v>
      </c>
      <c r="E15" s="22">
        <v>252</v>
      </c>
      <c r="F15" s="22">
        <v>212</v>
      </c>
      <c r="G15" s="22">
        <v>2</v>
      </c>
      <c r="H15" s="22">
        <v>14</v>
      </c>
      <c r="I15" s="22">
        <v>76</v>
      </c>
      <c r="J15" s="22">
        <v>327</v>
      </c>
      <c r="K15" s="22">
        <v>0</v>
      </c>
      <c r="L15" s="22">
        <v>26</v>
      </c>
      <c r="M15" s="15" t="e">
        <f t="shared" si="0"/>
        <v>#DIV/0!</v>
      </c>
      <c r="N15" s="23">
        <f>Q15-K15</f>
        <v>1</v>
      </c>
      <c r="O15" s="22">
        <f>R15-L15</f>
        <v>1</v>
      </c>
      <c r="P15" s="15">
        <f t="shared" si="1"/>
        <v>0</v>
      </c>
      <c r="Q15" s="22">
        <v>1</v>
      </c>
      <c r="R15" s="22">
        <v>27</v>
      </c>
      <c r="S15" s="15">
        <f t="shared" si="2"/>
        <v>2600</v>
      </c>
      <c r="T15" s="23">
        <f>W15-Q15</f>
        <v>0</v>
      </c>
      <c r="U15" s="22">
        <f>X15-R15</f>
        <v>1</v>
      </c>
      <c r="V15" s="15" t="e">
        <f t="shared" ref="V15:V16" si="66">(U15/T15-1)*100</f>
        <v>#DIV/0!</v>
      </c>
      <c r="W15" s="22">
        <v>1</v>
      </c>
      <c r="X15" s="22">
        <v>28</v>
      </c>
      <c r="Y15" s="15">
        <f t="shared" ref="Y15:Y16" si="67">(X15/W15-1)*100</f>
        <v>2700</v>
      </c>
      <c r="Z15" s="23">
        <f>AC15-W15</f>
        <v>0</v>
      </c>
      <c r="AA15" s="22">
        <f>AD15-X15</f>
        <v>6</v>
      </c>
      <c r="AB15" s="15" t="e">
        <f t="shared" ref="AB15:AB16" si="68">(AA15/Z15-1)*100</f>
        <v>#DIV/0!</v>
      </c>
      <c r="AC15" s="22">
        <v>1</v>
      </c>
      <c r="AD15" s="22">
        <v>34</v>
      </c>
      <c r="AE15" s="15">
        <f t="shared" ref="AE15:AE16" si="69">(AD15/AC15-1)*100</f>
        <v>3300</v>
      </c>
      <c r="AF15" s="23">
        <f>AI15-AC15</f>
        <v>5</v>
      </c>
      <c r="AG15" s="22">
        <f>AJ15-AD15</f>
        <v>2</v>
      </c>
      <c r="AH15" s="15">
        <f t="shared" ref="AH15:AH16" si="70">(AG15/AF15-1)*100</f>
        <v>-60</v>
      </c>
      <c r="AI15" s="22">
        <v>6</v>
      </c>
      <c r="AJ15" s="22">
        <v>36</v>
      </c>
      <c r="AK15" s="15">
        <f t="shared" ref="AK15:AK16" si="71">(AJ15/AI15-1)*100</f>
        <v>500</v>
      </c>
      <c r="AL15" s="23">
        <f>AO15-AI15</f>
        <v>0</v>
      </c>
      <c r="AM15" s="22">
        <f>AP15-AJ15</f>
        <v>0</v>
      </c>
      <c r="AN15" s="15" t="e">
        <f t="shared" ref="AN15:AN16" si="72">(AM15/AL15-1)*100</f>
        <v>#DIV/0!</v>
      </c>
      <c r="AO15" s="22">
        <v>6</v>
      </c>
      <c r="AP15" s="22">
        <v>36</v>
      </c>
      <c r="AQ15" s="15">
        <f t="shared" ref="AQ15:AQ16" si="73">(AP15/AO15-1)*100</f>
        <v>500</v>
      </c>
      <c r="AR15" s="23">
        <f>AU15-AO15</f>
        <v>21</v>
      </c>
      <c r="AS15" s="22">
        <f>AV15-AP15</f>
        <v>5</v>
      </c>
      <c r="AT15" s="15">
        <f t="shared" ref="AT15:AT16" si="74">(AS15/AR15-1)*100</f>
        <v>-76.19047619047619</v>
      </c>
      <c r="AU15" s="22">
        <v>27</v>
      </c>
      <c r="AV15" s="22">
        <v>41</v>
      </c>
      <c r="AW15" s="15">
        <f t="shared" ref="AW15:AW16" si="75">(AV15/AU15-1)*100</f>
        <v>51.851851851851862</v>
      </c>
      <c r="AX15" s="23">
        <f>BA15-AU15</f>
        <v>0</v>
      </c>
      <c r="AY15" s="22">
        <f>BB15-AV15</f>
        <v>10</v>
      </c>
      <c r="AZ15" s="15" t="e">
        <f t="shared" ref="AZ15:AZ16" si="76">(AY15/AX15-1)*100</f>
        <v>#DIV/0!</v>
      </c>
      <c r="BA15" s="22">
        <v>27</v>
      </c>
      <c r="BB15" s="22">
        <v>51</v>
      </c>
      <c r="BC15" s="15">
        <f t="shared" ref="BC15:BC16" si="77">(BB15/BA15-1)*100</f>
        <v>88.888888888888886</v>
      </c>
      <c r="BD15" s="23">
        <f>BG15-BA15</f>
        <v>0</v>
      </c>
      <c r="BE15" s="22">
        <f>BH15-BB15</f>
        <v>3</v>
      </c>
      <c r="BF15" s="15" t="e">
        <f t="shared" ref="BF15:BF16" si="78">(BE15/BD15-1)*100</f>
        <v>#DIV/0!</v>
      </c>
      <c r="BG15" s="22">
        <v>27</v>
      </c>
      <c r="BH15" s="22">
        <v>54</v>
      </c>
      <c r="BI15" s="15">
        <f t="shared" ref="BI15:BI16" si="79">(BH15/BG15-1)*100</f>
        <v>100</v>
      </c>
      <c r="BJ15" s="23">
        <f>BM15-BG15</f>
        <v>0</v>
      </c>
      <c r="BK15" s="22">
        <f>BN15-BH15</f>
        <v>30</v>
      </c>
      <c r="BL15" s="15" t="e">
        <f t="shared" ref="BL15:BL16" si="80">(BK15/BJ15-1)*100</f>
        <v>#DIV/0!</v>
      </c>
      <c r="BM15" s="22">
        <v>27</v>
      </c>
      <c r="BN15" s="22">
        <v>84</v>
      </c>
      <c r="BO15" s="15">
        <f t="shared" ref="BO15:BO16" si="81">(BN15/BM15-1)*100</f>
        <v>211.11111111111111</v>
      </c>
      <c r="BP15" s="23">
        <f>BS15-BM15</f>
        <v>0</v>
      </c>
      <c r="BQ15" s="22">
        <f>BT15-BN15</f>
        <v>0</v>
      </c>
      <c r="BR15" s="15" t="e">
        <f t="shared" ref="BR15:BR16" si="82">(BQ15/BP15-1)*100</f>
        <v>#DIV/0!</v>
      </c>
      <c r="BS15" s="22">
        <v>27</v>
      </c>
      <c r="BT15" s="22">
        <v>84</v>
      </c>
      <c r="BU15" s="15">
        <f t="shared" ref="BU15:BU16" si="83">(BT15/BS15-1)*100</f>
        <v>211.11111111111111</v>
      </c>
      <c r="BV15" s="23">
        <f>BY15-BS15</f>
        <v>300</v>
      </c>
      <c r="BW15" s="22">
        <f>BZ15-BT15</f>
        <v>22</v>
      </c>
      <c r="BX15" s="15">
        <f t="shared" ref="BX15:BX16" si="84">(BW15/BV15-1)*100</f>
        <v>-92.666666666666657</v>
      </c>
      <c r="BY15" s="22">
        <v>327</v>
      </c>
      <c r="BZ15" s="22">
        <v>106</v>
      </c>
      <c r="CA15" s="15">
        <f t="shared" ref="CA15:CA16" si="85">(BZ15/BY15-1)*100</f>
        <v>-67.584097859327215</v>
      </c>
      <c r="CB15" s="6"/>
    </row>
    <row r="16" spans="1:80" s="1" customFormat="1" ht="19.5" customHeight="1">
      <c r="A16" s="152"/>
      <c r="B16" s="120"/>
      <c r="C16" s="33" t="s">
        <v>104</v>
      </c>
      <c r="D16" s="17">
        <v>6904</v>
      </c>
      <c r="E16" s="17">
        <v>20585</v>
      </c>
      <c r="F16" s="17">
        <v>20747</v>
      </c>
      <c r="G16" s="17">
        <v>3610</v>
      </c>
      <c r="H16" s="17">
        <v>4443</v>
      </c>
      <c r="I16" s="17">
        <v>18112</v>
      </c>
      <c r="J16" s="17">
        <v>37683</v>
      </c>
      <c r="K16" s="17">
        <v>35</v>
      </c>
      <c r="L16" s="17">
        <v>17354</v>
      </c>
      <c r="M16" s="18">
        <f t="shared" si="0"/>
        <v>49482.857142857145</v>
      </c>
      <c r="N16" s="14">
        <f>Q16-K16</f>
        <v>3092</v>
      </c>
      <c r="O16" s="14">
        <f>R16-L16</f>
        <v>1094</v>
      </c>
      <c r="P16" s="18">
        <f t="shared" si="1"/>
        <v>-64.618369987063389</v>
      </c>
      <c r="Q16" s="17">
        <v>3127</v>
      </c>
      <c r="R16" s="17">
        <v>18448</v>
      </c>
      <c r="S16" s="18">
        <f t="shared" si="2"/>
        <v>489.95842660697156</v>
      </c>
      <c r="T16" s="14">
        <f>W16-Q16</f>
        <v>1361</v>
      </c>
      <c r="U16" s="14">
        <f>X16-R16</f>
        <v>650</v>
      </c>
      <c r="V16" s="18">
        <f t="shared" si="66"/>
        <v>-52.240999265246145</v>
      </c>
      <c r="W16" s="17">
        <v>4488</v>
      </c>
      <c r="X16" s="17">
        <v>19098</v>
      </c>
      <c r="Y16" s="18">
        <f t="shared" si="67"/>
        <v>325.53475935828874</v>
      </c>
      <c r="Z16" s="14">
        <f>AC16-W16</f>
        <v>622</v>
      </c>
      <c r="AA16" s="14">
        <f>AD16-X16</f>
        <v>3466</v>
      </c>
      <c r="AB16" s="18">
        <f t="shared" si="68"/>
        <v>457.23472668810291</v>
      </c>
      <c r="AC16" s="17">
        <v>5110</v>
      </c>
      <c r="AD16" s="17">
        <v>22564</v>
      </c>
      <c r="AE16" s="18">
        <f t="shared" si="69"/>
        <v>341.5655577299413</v>
      </c>
      <c r="AF16" s="14">
        <f>AI16-AC16</f>
        <v>427</v>
      </c>
      <c r="AG16" s="14">
        <f>AJ16-AD16</f>
        <v>1543</v>
      </c>
      <c r="AH16" s="18">
        <f t="shared" si="70"/>
        <v>261.35831381733021</v>
      </c>
      <c r="AI16" s="17">
        <v>5537</v>
      </c>
      <c r="AJ16" s="17">
        <v>24107</v>
      </c>
      <c r="AK16" s="18">
        <f t="shared" si="71"/>
        <v>335.38016976702181</v>
      </c>
      <c r="AL16" s="14">
        <f>AO16-AI16</f>
        <v>39</v>
      </c>
      <c r="AM16" s="14">
        <f>AP16-AJ16</f>
        <v>0</v>
      </c>
      <c r="AN16" s="18">
        <f t="shared" si="72"/>
        <v>-100</v>
      </c>
      <c r="AO16" s="17">
        <v>5576</v>
      </c>
      <c r="AP16" s="17">
        <v>24107</v>
      </c>
      <c r="AQ16" s="18">
        <f t="shared" si="73"/>
        <v>332.33500717360113</v>
      </c>
      <c r="AR16" s="14">
        <f>AU16-AO16</f>
        <v>18709</v>
      </c>
      <c r="AS16" s="14">
        <f>AV16-AP16</f>
        <v>100</v>
      </c>
      <c r="AT16" s="18">
        <f t="shared" si="74"/>
        <v>-99.465497888716655</v>
      </c>
      <c r="AU16" s="17">
        <v>24285</v>
      </c>
      <c r="AV16" s="17">
        <v>24207</v>
      </c>
      <c r="AW16" s="18">
        <f t="shared" si="75"/>
        <v>-0.32118591723285794</v>
      </c>
      <c r="AX16" s="14">
        <f>BA16-AU16</f>
        <v>376</v>
      </c>
      <c r="AY16" s="14">
        <f>BB16-AV16</f>
        <v>897</v>
      </c>
      <c r="AZ16" s="18">
        <f t="shared" si="76"/>
        <v>138.56382978723403</v>
      </c>
      <c r="BA16" s="17">
        <v>24661</v>
      </c>
      <c r="BB16" s="17">
        <v>25104</v>
      </c>
      <c r="BC16" s="18">
        <f t="shared" si="77"/>
        <v>1.7963586229268858</v>
      </c>
      <c r="BD16" s="14">
        <f>BG16-BA16</f>
        <v>448</v>
      </c>
      <c r="BE16" s="14">
        <f>BH16-BB16</f>
        <v>6039</v>
      </c>
      <c r="BF16" s="18">
        <f t="shared" si="78"/>
        <v>1247.9910714285713</v>
      </c>
      <c r="BG16" s="17">
        <v>25109</v>
      </c>
      <c r="BH16" s="17">
        <v>31143</v>
      </c>
      <c r="BI16" s="18">
        <f t="shared" si="79"/>
        <v>24.031223863953155</v>
      </c>
      <c r="BJ16" s="14">
        <f>BM16-BG16</f>
        <v>0</v>
      </c>
      <c r="BK16" s="14">
        <f>BN16-BH16</f>
        <v>19802</v>
      </c>
      <c r="BL16" s="18" t="e">
        <f t="shared" si="80"/>
        <v>#DIV/0!</v>
      </c>
      <c r="BM16" s="17">
        <v>25109</v>
      </c>
      <c r="BN16" s="17">
        <v>50945</v>
      </c>
      <c r="BO16" s="18">
        <f t="shared" si="81"/>
        <v>102.89537615994266</v>
      </c>
      <c r="BP16" s="14">
        <f>BS16-BM16</f>
        <v>669</v>
      </c>
      <c r="BQ16" s="14">
        <f>BT16-BN16</f>
        <v>0</v>
      </c>
      <c r="BR16" s="18">
        <f t="shared" si="82"/>
        <v>-100</v>
      </c>
      <c r="BS16" s="17">
        <v>25778</v>
      </c>
      <c r="BT16" s="17">
        <v>50945</v>
      </c>
      <c r="BU16" s="18">
        <f t="shared" si="83"/>
        <v>97.629761812398172</v>
      </c>
      <c r="BV16" s="14">
        <f>BY16-BS16</f>
        <v>11905</v>
      </c>
      <c r="BW16" s="14">
        <f>BZ16-BT16</f>
        <v>3241</v>
      </c>
      <c r="BX16" s="18">
        <f t="shared" si="84"/>
        <v>-72.776144477110464</v>
      </c>
      <c r="BY16" s="17">
        <v>37683</v>
      </c>
      <c r="BZ16" s="17">
        <v>54186</v>
      </c>
      <c r="CA16" s="18">
        <f t="shared" si="85"/>
        <v>43.794283894594386</v>
      </c>
      <c r="CB16" s="6"/>
    </row>
    <row r="17" spans="1:80" s="1" customFormat="1" ht="19.5" customHeight="1" thickBot="1">
      <c r="A17" s="153"/>
      <c r="B17" s="121"/>
      <c r="C17" s="34" t="s">
        <v>105</v>
      </c>
      <c r="D17" s="19">
        <f>D16/D15</f>
        <v>13.698412698412698</v>
      </c>
      <c r="E17" s="17">
        <v>20585</v>
      </c>
      <c r="F17" s="17">
        <v>20585</v>
      </c>
      <c r="G17" s="17">
        <v>20585</v>
      </c>
      <c r="H17" s="20">
        <f>H16/H15</f>
        <v>317.35714285714283</v>
      </c>
      <c r="I17" s="20">
        <f>I16/I15</f>
        <v>238.31578947368422</v>
      </c>
      <c r="J17" s="20">
        <f>J16/J15</f>
        <v>115.23853211009174</v>
      </c>
      <c r="K17" s="20" t="e">
        <f>K16/K15</f>
        <v>#DIV/0!</v>
      </c>
      <c r="L17" s="20">
        <f>L16/L15</f>
        <v>667.46153846153845</v>
      </c>
      <c r="M17" s="47"/>
      <c r="N17" s="20">
        <f>N16/N15</f>
        <v>3092</v>
      </c>
      <c r="O17" s="20">
        <f>O16/O15</f>
        <v>1094</v>
      </c>
      <c r="P17" s="47"/>
      <c r="Q17" s="20">
        <f>Q16/Q15</f>
        <v>3127</v>
      </c>
      <c r="R17" s="20">
        <f>R16/R15</f>
        <v>683.25925925925924</v>
      </c>
      <c r="S17" s="47"/>
      <c r="T17" s="20" t="e">
        <f>T16/T15</f>
        <v>#DIV/0!</v>
      </c>
      <c r="U17" s="20">
        <f>U16/U15</f>
        <v>650</v>
      </c>
      <c r="V17" s="47"/>
      <c r="W17" s="20">
        <f>W16/W15</f>
        <v>4488</v>
      </c>
      <c r="X17" s="20">
        <f>X16/X15</f>
        <v>682.07142857142856</v>
      </c>
      <c r="Y17" s="47"/>
      <c r="Z17" s="20" t="e">
        <f>Z16/Z15</f>
        <v>#DIV/0!</v>
      </c>
      <c r="AA17" s="20">
        <f>AA16/AA15</f>
        <v>577.66666666666663</v>
      </c>
      <c r="AB17" s="47"/>
      <c r="AC17" s="20">
        <f>AC16/AC15</f>
        <v>5110</v>
      </c>
      <c r="AD17" s="20">
        <f>AD16/AD15</f>
        <v>663.64705882352939</v>
      </c>
      <c r="AE17" s="47"/>
      <c r="AF17" s="20">
        <f>AF16/AF15</f>
        <v>85.4</v>
      </c>
      <c r="AG17" s="20">
        <f>AG16/AG15</f>
        <v>771.5</v>
      </c>
      <c r="AH17" s="47"/>
      <c r="AI17" s="20">
        <f>AI16/AI15</f>
        <v>922.83333333333337</v>
      </c>
      <c r="AJ17" s="20">
        <f>AJ16/AJ15</f>
        <v>669.63888888888891</v>
      </c>
      <c r="AK17" s="47"/>
      <c r="AL17" s="20" t="e">
        <f>AL16/AL15</f>
        <v>#DIV/0!</v>
      </c>
      <c r="AM17" s="20" t="e">
        <f>AM16/AM15</f>
        <v>#DIV/0!</v>
      </c>
      <c r="AN17" s="47"/>
      <c r="AO17" s="20">
        <f>AO16/AO15</f>
        <v>929.33333333333337</v>
      </c>
      <c r="AP17" s="20">
        <f>AP16/AP15</f>
        <v>669.63888888888891</v>
      </c>
      <c r="AQ17" s="47"/>
      <c r="AR17" s="20">
        <f>AR16/AR15</f>
        <v>890.90476190476193</v>
      </c>
      <c r="AS17" s="20">
        <f>AS16/AS15</f>
        <v>20</v>
      </c>
      <c r="AT17" s="47"/>
      <c r="AU17" s="20">
        <f>AU16/AU15</f>
        <v>899.44444444444446</v>
      </c>
      <c r="AV17" s="20">
        <f>AV16/AV15</f>
        <v>590.41463414634143</v>
      </c>
      <c r="AW17" s="47"/>
      <c r="AX17" s="20" t="e">
        <f>AX16/AX15</f>
        <v>#DIV/0!</v>
      </c>
      <c r="AY17" s="20">
        <f>AY16/AY15</f>
        <v>89.7</v>
      </c>
      <c r="AZ17" s="47"/>
      <c r="BA17" s="20">
        <f>BA16/BA15</f>
        <v>913.37037037037032</v>
      </c>
      <c r="BB17" s="20">
        <f>BB16/BB15</f>
        <v>492.23529411764707</v>
      </c>
      <c r="BC17" s="47"/>
      <c r="BD17" s="20" t="e">
        <f>BD16/BD15</f>
        <v>#DIV/0!</v>
      </c>
      <c r="BE17" s="20">
        <f>BE16/BE15</f>
        <v>2013</v>
      </c>
      <c r="BF17" s="47"/>
      <c r="BG17" s="20">
        <f>BG16/BG15</f>
        <v>929.96296296296293</v>
      </c>
      <c r="BH17" s="20">
        <f>BH16/BH15</f>
        <v>576.72222222222217</v>
      </c>
      <c r="BI17" s="47"/>
      <c r="BJ17" s="20" t="e">
        <f>BJ16/BJ15</f>
        <v>#DIV/0!</v>
      </c>
      <c r="BK17" s="20">
        <f>BK16/BK15</f>
        <v>660.06666666666672</v>
      </c>
      <c r="BL17" s="47"/>
      <c r="BM17" s="20">
        <f>BM16/BM15</f>
        <v>929.96296296296293</v>
      </c>
      <c r="BN17" s="20">
        <f>BN16/BN15</f>
        <v>606.48809523809518</v>
      </c>
      <c r="BO17" s="47"/>
      <c r="BP17" s="20" t="e">
        <f>BP16/BP15</f>
        <v>#DIV/0!</v>
      </c>
      <c r="BQ17" s="20" t="e">
        <f>BQ16/BQ15</f>
        <v>#DIV/0!</v>
      </c>
      <c r="BR17" s="47"/>
      <c r="BS17" s="20">
        <f>BS16/BS15</f>
        <v>954.74074074074076</v>
      </c>
      <c r="BT17" s="20">
        <f>BT16/BT15</f>
        <v>606.48809523809518</v>
      </c>
      <c r="BU17" s="47"/>
      <c r="BV17" s="20">
        <f>BV16/BV15</f>
        <v>39.68333333333333</v>
      </c>
      <c r="BW17" s="20">
        <f>BW16/BW15</f>
        <v>147.31818181818181</v>
      </c>
      <c r="BX17" s="47"/>
      <c r="BY17" s="20">
        <f>BY16/BY15</f>
        <v>115.23853211009174</v>
      </c>
      <c r="BZ17" s="20">
        <f>BZ16/BZ15</f>
        <v>511.18867924528303</v>
      </c>
      <c r="CA17" s="47"/>
      <c r="CB17" s="6"/>
    </row>
    <row r="18" spans="1:80" s="1" customFormat="1" ht="19.5" customHeight="1">
      <c r="A18" s="164" t="s">
        <v>110</v>
      </c>
      <c r="B18" s="114" t="s">
        <v>73</v>
      </c>
      <c r="C18" s="32" t="s">
        <v>42</v>
      </c>
      <c r="D18" s="22">
        <v>75</v>
      </c>
      <c r="E18" s="22">
        <v>2011</v>
      </c>
      <c r="F18" s="22">
        <v>4374</v>
      </c>
      <c r="G18" s="22">
        <v>121</v>
      </c>
      <c r="H18" s="22">
        <v>1133</v>
      </c>
      <c r="I18" s="22">
        <v>32</v>
      </c>
      <c r="J18" s="22">
        <v>6081</v>
      </c>
      <c r="K18" s="22">
        <v>0</v>
      </c>
      <c r="L18" s="22">
        <v>1</v>
      </c>
      <c r="M18" s="15" t="e">
        <f t="shared" si="0"/>
        <v>#DIV/0!</v>
      </c>
      <c r="N18" s="23">
        <f>Q18-K18</f>
        <v>0</v>
      </c>
      <c r="O18" s="22">
        <f>R18-L18</f>
        <v>8</v>
      </c>
      <c r="P18" s="15" t="e">
        <f t="shared" si="1"/>
        <v>#DIV/0!</v>
      </c>
      <c r="Q18" s="22">
        <v>0</v>
      </c>
      <c r="R18" s="22">
        <v>9</v>
      </c>
      <c r="S18" s="15" t="e">
        <f t="shared" si="2"/>
        <v>#DIV/0!</v>
      </c>
      <c r="T18" s="23">
        <f>W18-Q18</f>
        <v>7</v>
      </c>
      <c r="U18" s="22">
        <f>X18-R18</f>
        <v>10</v>
      </c>
      <c r="V18" s="15">
        <f t="shared" ref="V18:V19" si="86">(U18/T18-1)*100</f>
        <v>42.857142857142861</v>
      </c>
      <c r="W18" s="22">
        <v>7</v>
      </c>
      <c r="X18" s="22">
        <v>19</v>
      </c>
      <c r="Y18" s="15">
        <f t="shared" ref="Y18:Y19" si="87">(X18/W18-1)*100</f>
        <v>171.42857142857144</v>
      </c>
      <c r="Z18" s="23">
        <f>AC18-W18</f>
        <v>0</v>
      </c>
      <c r="AA18" s="22">
        <f>AD18-X18</f>
        <v>5</v>
      </c>
      <c r="AB18" s="15" t="e">
        <f t="shared" ref="AB18:AB19" si="88">(AA18/Z18-1)*100</f>
        <v>#DIV/0!</v>
      </c>
      <c r="AC18" s="22">
        <v>7</v>
      </c>
      <c r="AD18" s="22">
        <v>24</v>
      </c>
      <c r="AE18" s="15">
        <f t="shared" ref="AE18:AE19" si="89">(AD18/AC18-1)*100</f>
        <v>242.85714285714283</v>
      </c>
      <c r="AF18" s="23">
        <f>AI18-AC18</f>
        <v>56</v>
      </c>
      <c r="AG18" s="22">
        <f>AJ18-AD18</f>
        <v>5</v>
      </c>
      <c r="AH18" s="15">
        <f t="shared" ref="AH18:AH19" si="90">(AG18/AF18-1)*100</f>
        <v>-91.071428571428569</v>
      </c>
      <c r="AI18" s="22">
        <v>63</v>
      </c>
      <c r="AJ18" s="22">
        <v>29</v>
      </c>
      <c r="AK18" s="15">
        <f t="shared" ref="AK18:AK19" si="91">(AJ18/AI18-1)*100</f>
        <v>-53.968253968253975</v>
      </c>
      <c r="AL18" s="23">
        <f>AO18-AI18</f>
        <v>2</v>
      </c>
      <c r="AM18" s="22">
        <f>AP18-AJ18</f>
        <v>1</v>
      </c>
      <c r="AN18" s="15">
        <f t="shared" ref="AN18:AN19" si="92">(AM18/AL18-1)*100</f>
        <v>-50</v>
      </c>
      <c r="AO18" s="22">
        <v>65</v>
      </c>
      <c r="AP18" s="22">
        <v>30</v>
      </c>
      <c r="AQ18" s="15">
        <f t="shared" ref="AQ18:AQ19" si="93">(AP18/AO18-1)*100</f>
        <v>-53.846153846153847</v>
      </c>
      <c r="AR18" s="23">
        <f>AU18-AO18</f>
        <v>0</v>
      </c>
      <c r="AS18" s="22">
        <f>AV18-AP18</f>
        <v>17</v>
      </c>
      <c r="AT18" s="15" t="e">
        <f t="shared" ref="AT18:AT19" si="94">(AS18/AR18-1)*100</f>
        <v>#DIV/0!</v>
      </c>
      <c r="AU18" s="22">
        <v>65</v>
      </c>
      <c r="AV18" s="22">
        <v>47</v>
      </c>
      <c r="AW18" s="15">
        <f t="shared" ref="AW18:AW19" si="95">(AV18/AU18-1)*100</f>
        <v>-27.692307692307693</v>
      </c>
      <c r="AX18" s="23">
        <f>BA18-AU18</f>
        <v>1000</v>
      </c>
      <c r="AY18" s="22">
        <f>BB18-AV18</f>
        <v>4</v>
      </c>
      <c r="AZ18" s="15">
        <f t="shared" ref="AZ18:AZ19" si="96">(AY18/AX18-1)*100</f>
        <v>-99.6</v>
      </c>
      <c r="BA18" s="22">
        <v>1065</v>
      </c>
      <c r="BB18" s="22">
        <v>51</v>
      </c>
      <c r="BC18" s="15">
        <f t="shared" ref="BC18:BC19" si="97">(BB18/BA18-1)*100</f>
        <v>-95.211267605633793</v>
      </c>
      <c r="BD18" s="23">
        <f>BG18-BA18</f>
        <v>2</v>
      </c>
      <c r="BE18" s="22">
        <f>BH18-BB18</f>
        <v>12</v>
      </c>
      <c r="BF18" s="15">
        <f t="shared" ref="BF18:BF19" si="98">(BE18/BD18-1)*100</f>
        <v>500</v>
      </c>
      <c r="BG18" s="22">
        <v>1067</v>
      </c>
      <c r="BH18" s="22">
        <v>63</v>
      </c>
      <c r="BI18" s="15">
        <f t="shared" ref="BI18:BI19" si="99">(BH18/BG18-1)*100</f>
        <v>-94.095595126522952</v>
      </c>
      <c r="BJ18" s="23">
        <f>BM18-BG18</f>
        <v>8</v>
      </c>
      <c r="BK18" s="22">
        <f>BN18-BH18</f>
        <v>22</v>
      </c>
      <c r="BL18" s="15">
        <f t="shared" ref="BL18:BL19" si="100">(BK18/BJ18-1)*100</f>
        <v>175</v>
      </c>
      <c r="BM18" s="22">
        <v>1075</v>
      </c>
      <c r="BN18" s="22">
        <v>85</v>
      </c>
      <c r="BO18" s="15">
        <f t="shared" ref="BO18:BO19" si="101">(BN18/BM18-1)*100</f>
        <v>-92.093023255813961</v>
      </c>
      <c r="BP18" s="23">
        <f>BS18-BM18</f>
        <v>200</v>
      </c>
      <c r="BQ18" s="22">
        <f>BT18-BN18</f>
        <v>4</v>
      </c>
      <c r="BR18" s="15">
        <f t="shared" ref="BR18:BR19" si="102">(BQ18/BP18-1)*100</f>
        <v>-98</v>
      </c>
      <c r="BS18" s="22">
        <v>1275</v>
      </c>
      <c r="BT18" s="22">
        <v>89</v>
      </c>
      <c r="BU18" s="15">
        <f t="shared" ref="BU18:BU19" si="103">(BT18/BS18-1)*100</f>
        <v>-93.019607843137251</v>
      </c>
      <c r="BV18" s="23">
        <f>BY18-BS18</f>
        <v>4806</v>
      </c>
      <c r="BW18" s="22">
        <f>BZ18-BT18</f>
        <v>6</v>
      </c>
      <c r="BX18" s="15">
        <f t="shared" ref="BX18:BX19" si="104">(BW18/BV18-1)*100</f>
        <v>-99.875156054931338</v>
      </c>
      <c r="BY18" s="22">
        <v>6081</v>
      </c>
      <c r="BZ18" s="22">
        <v>95</v>
      </c>
      <c r="CA18" s="15">
        <f t="shared" ref="CA18:CA19" si="105">(BZ18/BY18-1)*100</f>
        <v>-98.437756947870412</v>
      </c>
      <c r="CB18" s="6"/>
    </row>
    <row r="19" spans="1:80" s="1" customFormat="1" ht="19.5" customHeight="1">
      <c r="A19" s="152"/>
      <c r="B19" s="120"/>
      <c r="C19" s="33" t="s">
        <v>104</v>
      </c>
      <c r="D19" s="17">
        <v>8324</v>
      </c>
      <c r="E19" s="17">
        <v>56422</v>
      </c>
      <c r="F19" s="17">
        <v>495728</v>
      </c>
      <c r="G19" s="17">
        <v>40812</v>
      </c>
      <c r="H19" s="17">
        <v>73029</v>
      </c>
      <c r="I19" s="17">
        <v>25383</v>
      </c>
      <c r="J19" s="17">
        <v>317080</v>
      </c>
      <c r="K19" s="17">
        <v>178</v>
      </c>
      <c r="L19" s="17">
        <v>820</v>
      </c>
      <c r="M19" s="18">
        <f t="shared" si="0"/>
        <v>360.67415730337081</v>
      </c>
      <c r="N19" s="14">
        <f>Q19-K19</f>
        <v>60</v>
      </c>
      <c r="O19" s="14">
        <f>R19-L19</f>
        <v>1519</v>
      </c>
      <c r="P19" s="18">
        <f t="shared" si="1"/>
        <v>2431.6666666666665</v>
      </c>
      <c r="Q19" s="17">
        <v>238</v>
      </c>
      <c r="R19" s="17">
        <v>2339</v>
      </c>
      <c r="S19" s="18">
        <f t="shared" si="2"/>
        <v>882.77310924369749</v>
      </c>
      <c r="T19" s="14">
        <f>W19-Q19</f>
        <v>4089</v>
      </c>
      <c r="U19" s="14">
        <f>X19-R19</f>
        <v>3449</v>
      </c>
      <c r="V19" s="18">
        <f t="shared" si="86"/>
        <v>-15.651748593788216</v>
      </c>
      <c r="W19" s="17">
        <v>4327</v>
      </c>
      <c r="X19" s="17">
        <v>5788</v>
      </c>
      <c r="Y19" s="18">
        <f t="shared" si="87"/>
        <v>33.764733071412053</v>
      </c>
      <c r="Z19" s="14">
        <f>AC19-W19</f>
        <v>192</v>
      </c>
      <c r="AA19" s="14">
        <f>AD19-X19</f>
        <v>2819</v>
      </c>
      <c r="AB19" s="18">
        <f t="shared" si="88"/>
        <v>1368.2291666666665</v>
      </c>
      <c r="AC19" s="17">
        <v>4519</v>
      </c>
      <c r="AD19" s="17">
        <v>8607</v>
      </c>
      <c r="AE19" s="18">
        <f t="shared" si="89"/>
        <v>90.462491701703911</v>
      </c>
      <c r="AF19" s="14">
        <f>AI19-AC19</f>
        <v>1786</v>
      </c>
      <c r="AG19" s="14">
        <f>AJ19-AD19</f>
        <v>1426</v>
      </c>
      <c r="AH19" s="18">
        <f t="shared" si="90"/>
        <v>-20.156774916013443</v>
      </c>
      <c r="AI19" s="17">
        <v>6305</v>
      </c>
      <c r="AJ19" s="17">
        <v>10033</v>
      </c>
      <c r="AK19" s="18">
        <f t="shared" si="91"/>
        <v>59.127676447264065</v>
      </c>
      <c r="AL19" s="14">
        <f>AO19-AI19</f>
        <v>697</v>
      </c>
      <c r="AM19" s="14">
        <f>AP19-AJ19</f>
        <v>551</v>
      </c>
      <c r="AN19" s="18">
        <f t="shared" si="92"/>
        <v>-20.946915351506455</v>
      </c>
      <c r="AO19" s="17">
        <v>7002</v>
      </c>
      <c r="AP19" s="17">
        <v>10584</v>
      </c>
      <c r="AQ19" s="18">
        <f t="shared" si="93"/>
        <v>51.156812339331623</v>
      </c>
      <c r="AR19" s="14">
        <f>AU19-AO19</f>
        <v>0</v>
      </c>
      <c r="AS19" s="14">
        <f>AV19-AP19</f>
        <v>3059</v>
      </c>
      <c r="AT19" s="18" t="e">
        <f t="shared" si="94"/>
        <v>#DIV/0!</v>
      </c>
      <c r="AU19" s="17">
        <v>7002</v>
      </c>
      <c r="AV19" s="17">
        <v>13643</v>
      </c>
      <c r="AW19" s="18">
        <f t="shared" si="95"/>
        <v>94.844330191373885</v>
      </c>
      <c r="AX19" s="14">
        <f>BA19-AU19</f>
        <v>52175</v>
      </c>
      <c r="AY19" s="14">
        <f>BB19-AV19</f>
        <v>1503</v>
      </c>
      <c r="AZ19" s="18">
        <f t="shared" si="96"/>
        <v>-97.119310014374705</v>
      </c>
      <c r="BA19" s="17">
        <v>59177</v>
      </c>
      <c r="BB19" s="17">
        <v>15146</v>
      </c>
      <c r="BC19" s="18">
        <f t="shared" si="97"/>
        <v>-74.405596769014991</v>
      </c>
      <c r="BD19" s="14">
        <f>BG19-BA19</f>
        <v>1770</v>
      </c>
      <c r="BE19" s="14">
        <f>BH19-BB19</f>
        <v>2316</v>
      </c>
      <c r="BF19" s="18">
        <f t="shared" si="98"/>
        <v>30.847457627118647</v>
      </c>
      <c r="BG19" s="17">
        <v>60947</v>
      </c>
      <c r="BH19" s="17">
        <v>17462</v>
      </c>
      <c r="BI19" s="18">
        <f t="shared" si="99"/>
        <v>-71.348876893038209</v>
      </c>
      <c r="BJ19" s="14">
        <f>BM19-BG19</f>
        <v>3421</v>
      </c>
      <c r="BK19" s="14">
        <f>BN19-BH19</f>
        <v>3893</v>
      </c>
      <c r="BL19" s="18">
        <f t="shared" si="100"/>
        <v>13.797135340543697</v>
      </c>
      <c r="BM19" s="17">
        <v>64368</v>
      </c>
      <c r="BN19" s="17">
        <v>21355</v>
      </c>
      <c r="BO19" s="18">
        <f t="shared" si="101"/>
        <v>-66.823576932637337</v>
      </c>
      <c r="BP19" s="14">
        <f>BS19-BM19</f>
        <v>10082</v>
      </c>
      <c r="BQ19" s="14">
        <f>BT19-BN19</f>
        <v>1056</v>
      </c>
      <c r="BR19" s="18">
        <f t="shared" si="102"/>
        <v>-89.525887720690349</v>
      </c>
      <c r="BS19" s="17">
        <v>74450</v>
      </c>
      <c r="BT19" s="17">
        <v>22411</v>
      </c>
      <c r="BU19" s="18">
        <f t="shared" si="103"/>
        <v>-69.897918065815972</v>
      </c>
      <c r="BV19" s="14">
        <f>BY19-BS19</f>
        <v>242630</v>
      </c>
      <c r="BW19" s="14">
        <f>BZ19-BT19</f>
        <v>860</v>
      </c>
      <c r="BX19" s="18">
        <f t="shared" si="104"/>
        <v>-99.645550838725626</v>
      </c>
      <c r="BY19" s="17">
        <v>317080</v>
      </c>
      <c r="BZ19" s="17">
        <v>23271</v>
      </c>
      <c r="CA19" s="18">
        <f t="shared" si="105"/>
        <v>-92.660842689542065</v>
      </c>
      <c r="CB19" s="6"/>
    </row>
    <row r="20" spans="1:80" s="1" customFormat="1" ht="19.5" customHeight="1" thickBot="1">
      <c r="A20" s="153"/>
      <c r="B20" s="121"/>
      <c r="C20" s="34" t="s">
        <v>105</v>
      </c>
      <c r="D20" s="19">
        <f t="shared" ref="D20:L20" si="106">D19/D18</f>
        <v>110.98666666666666</v>
      </c>
      <c r="E20" s="19">
        <f t="shared" si="106"/>
        <v>28.056688214818497</v>
      </c>
      <c r="F20" s="19">
        <f t="shared" si="106"/>
        <v>113.33516232281664</v>
      </c>
      <c r="G20" s="19">
        <f t="shared" si="106"/>
        <v>337.28925619834712</v>
      </c>
      <c r="H20" s="20">
        <f>H19/H18</f>
        <v>64.456310679611647</v>
      </c>
      <c r="I20" s="20">
        <f>I19/I18</f>
        <v>793.21875</v>
      </c>
      <c r="J20" s="20">
        <f>J19/J18</f>
        <v>52.142739680973527</v>
      </c>
      <c r="K20" s="20" t="e">
        <f t="shared" si="106"/>
        <v>#DIV/0!</v>
      </c>
      <c r="L20" s="20">
        <f t="shared" si="106"/>
        <v>820</v>
      </c>
      <c r="M20" s="47"/>
      <c r="N20" s="20" t="e">
        <f>N19/N18</f>
        <v>#DIV/0!</v>
      </c>
      <c r="O20" s="20">
        <f>O19/O18</f>
        <v>189.875</v>
      </c>
      <c r="P20" s="47"/>
      <c r="Q20" s="20" t="e">
        <f>Q19/Q18</f>
        <v>#DIV/0!</v>
      </c>
      <c r="R20" s="20">
        <f>R19/R18</f>
        <v>259.88888888888891</v>
      </c>
      <c r="S20" s="47"/>
      <c r="T20" s="20">
        <f>T19/T18</f>
        <v>584.14285714285711</v>
      </c>
      <c r="U20" s="20">
        <f>U19/U18</f>
        <v>344.9</v>
      </c>
      <c r="V20" s="47"/>
      <c r="W20" s="20">
        <f>W19/W18</f>
        <v>618.14285714285711</v>
      </c>
      <c r="X20" s="20">
        <f>X19/X18</f>
        <v>304.63157894736844</v>
      </c>
      <c r="Y20" s="47"/>
      <c r="Z20" s="20" t="e">
        <f>Z19/Z18</f>
        <v>#DIV/0!</v>
      </c>
      <c r="AA20" s="20">
        <f>AA19/AA18</f>
        <v>563.79999999999995</v>
      </c>
      <c r="AB20" s="47"/>
      <c r="AC20" s="20">
        <f>AC19/AC18</f>
        <v>645.57142857142856</v>
      </c>
      <c r="AD20" s="20">
        <f>AD19/AD18</f>
        <v>358.625</v>
      </c>
      <c r="AE20" s="47"/>
      <c r="AF20" s="20">
        <f>AF19/AF18</f>
        <v>31.892857142857142</v>
      </c>
      <c r="AG20" s="20">
        <f>AG19/AG18</f>
        <v>285.2</v>
      </c>
      <c r="AH20" s="47"/>
      <c r="AI20" s="20">
        <f>AI19/AI18</f>
        <v>100.07936507936508</v>
      </c>
      <c r="AJ20" s="20">
        <f>AJ19/AJ18</f>
        <v>345.9655172413793</v>
      </c>
      <c r="AK20" s="47"/>
      <c r="AL20" s="20">
        <f>AL19/AL18</f>
        <v>348.5</v>
      </c>
      <c r="AM20" s="20">
        <f>AM19/AM18</f>
        <v>551</v>
      </c>
      <c r="AN20" s="47"/>
      <c r="AO20" s="20">
        <f>AO19/AO18</f>
        <v>107.72307692307692</v>
      </c>
      <c r="AP20" s="20">
        <f>AP19/AP18</f>
        <v>352.8</v>
      </c>
      <c r="AQ20" s="47"/>
      <c r="AR20" s="20" t="e">
        <f>AR19/AR18</f>
        <v>#DIV/0!</v>
      </c>
      <c r="AS20" s="20">
        <f>AS19/AS18</f>
        <v>179.94117647058823</v>
      </c>
      <c r="AT20" s="47"/>
      <c r="AU20" s="20">
        <f>AU19/AU18</f>
        <v>107.72307692307692</v>
      </c>
      <c r="AV20" s="20">
        <f>AV19/AV18</f>
        <v>290.27659574468083</v>
      </c>
      <c r="AW20" s="47"/>
      <c r="AX20" s="20">
        <f>AX19/AX18</f>
        <v>52.174999999999997</v>
      </c>
      <c r="AY20" s="20">
        <f>AY19/AY18</f>
        <v>375.75</v>
      </c>
      <c r="AZ20" s="47"/>
      <c r="BA20" s="20">
        <f>BA19/BA18</f>
        <v>55.565258215962444</v>
      </c>
      <c r="BB20" s="20">
        <f>BB19/BB18</f>
        <v>296.98039215686276</v>
      </c>
      <c r="BC20" s="47"/>
      <c r="BD20" s="20">
        <f>BD19/BD18</f>
        <v>885</v>
      </c>
      <c r="BE20" s="20">
        <f>BE19/BE18</f>
        <v>193</v>
      </c>
      <c r="BF20" s="47"/>
      <c r="BG20" s="20">
        <f>BG19/BG18</f>
        <v>57.119962511715087</v>
      </c>
      <c r="BH20" s="20">
        <f>BH19/BH18</f>
        <v>277.17460317460319</v>
      </c>
      <c r="BI20" s="47"/>
      <c r="BJ20" s="20">
        <f>BJ19/BJ18</f>
        <v>427.625</v>
      </c>
      <c r="BK20" s="20">
        <f>BK19/BK18</f>
        <v>176.95454545454547</v>
      </c>
      <c r="BL20" s="47"/>
      <c r="BM20" s="20">
        <f>BM19/BM18</f>
        <v>59.877209302325582</v>
      </c>
      <c r="BN20" s="20">
        <f>BN19/BN18</f>
        <v>251.23529411764707</v>
      </c>
      <c r="BO20" s="47"/>
      <c r="BP20" s="20">
        <f>BP19/BP18</f>
        <v>50.41</v>
      </c>
      <c r="BQ20" s="20">
        <f>BQ19/BQ18</f>
        <v>264</v>
      </c>
      <c r="BR20" s="47"/>
      <c r="BS20" s="20">
        <f>BS19/BS18</f>
        <v>58.392156862745097</v>
      </c>
      <c r="BT20" s="20">
        <f>BT19/BT18</f>
        <v>251.80898876404495</v>
      </c>
      <c r="BU20" s="47"/>
      <c r="BV20" s="20">
        <f>BV19/BV18</f>
        <v>50.484810653349982</v>
      </c>
      <c r="BW20" s="20">
        <f>BW19/BW18</f>
        <v>143.33333333333334</v>
      </c>
      <c r="BX20" s="47"/>
      <c r="BY20" s="20">
        <f>BY19/BY18</f>
        <v>52.142739680973527</v>
      </c>
      <c r="BZ20" s="20">
        <f>BZ19/BZ18</f>
        <v>244.95789473684209</v>
      </c>
      <c r="CA20" s="47"/>
      <c r="CB20" s="6"/>
    </row>
    <row r="21" spans="1:80" s="1" customFormat="1" ht="19.5" customHeight="1">
      <c r="A21" s="164" t="s">
        <v>111</v>
      </c>
      <c r="B21" s="114" t="s">
        <v>28</v>
      </c>
      <c r="C21" s="32" t="s">
        <v>42</v>
      </c>
      <c r="D21" s="22">
        <v>0</v>
      </c>
      <c r="E21" s="22">
        <v>3</v>
      </c>
      <c r="F21" s="22">
        <v>8</v>
      </c>
      <c r="G21" s="22">
        <v>44</v>
      </c>
      <c r="H21" s="22">
        <v>5</v>
      </c>
      <c r="I21" s="22">
        <v>4</v>
      </c>
      <c r="J21" s="22">
        <v>1</v>
      </c>
      <c r="K21" s="22">
        <v>0</v>
      </c>
      <c r="L21" s="22">
        <v>0</v>
      </c>
      <c r="M21" s="15" t="e">
        <f t="shared" si="0"/>
        <v>#DIV/0!</v>
      </c>
      <c r="N21" s="23">
        <f>Q21-K21</f>
        <v>0</v>
      </c>
      <c r="O21" s="22">
        <f>R21-L21</f>
        <v>0</v>
      </c>
      <c r="P21" s="15" t="e">
        <f t="shared" si="1"/>
        <v>#DIV/0!</v>
      </c>
      <c r="Q21" s="22">
        <v>0</v>
      </c>
      <c r="R21" s="22">
        <v>0</v>
      </c>
      <c r="S21" s="15" t="e">
        <f t="shared" si="2"/>
        <v>#DIV/0!</v>
      </c>
      <c r="T21" s="23">
        <f>W21-Q21</f>
        <v>0</v>
      </c>
      <c r="U21" s="22">
        <f>X21-R21</f>
        <v>0</v>
      </c>
      <c r="V21" s="15" t="e">
        <f t="shared" ref="V21:V22" si="107">(U21/T21-1)*100</f>
        <v>#DIV/0!</v>
      </c>
      <c r="W21" s="22">
        <v>0</v>
      </c>
      <c r="X21" s="22">
        <v>0</v>
      </c>
      <c r="Y21" s="15" t="e">
        <f t="shared" ref="Y21:Y22" si="108">(X21/W21-1)*100</f>
        <v>#DIV/0!</v>
      </c>
      <c r="Z21" s="23">
        <f>AC21-W21</f>
        <v>0</v>
      </c>
      <c r="AA21" s="22">
        <f>AD21-X21</f>
        <v>0</v>
      </c>
      <c r="AB21" s="15" t="e">
        <f t="shared" ref="AB21:AB22" si="109">(AA21/Z21-1)*100</f>
        <v>#DIV/0!</v>
      </c>
      <c r="AC21" s="22">
        <v>0</v>
      </c>
      <c r="AD21" s="22">
        <v>0</v>
      </c>
      <c r="AE21" s="15" t="e">
        <f t="shared" ref="AE21:AE22" si="110">(AD21/AC21-1)*100</f>
        <v>#DIV/0!</v>
      </c>
      <c r="AF21" s="23">
        <f>AI21-AC21</f>
        <v>0</v>
      </c>
      <c r="AG21" s="22">
        <f>AJ21-AD21</f>
        <v>0</v>
      </c>
      <c r="AH21" s="15" t="e">
        <f t="shared" ref="AH21:AH22" si="111">(AG21/AF21-1)*100</f>
        <v>#DIV/0!</v>
      </c>
      <c r="AI21" s="22">
        <v>0</v>
      </c>
      <c r="AJ21" s="22">
        <v>0</v>
      </c>
      <c r="AK21" s="15" t="e">
        <f t="shared" ref="AK21:AK22" si="112">(AJ21/AI21-1)*100</f>
        <v>#DIV/0!</v>
      </c>
      <c r="AL21" s="23">
        <f>AO21-AI21</f>
        <v>0</v>
      </c>
      <c r="AM21" s="22">
        <f>AP21-AJ21</f>
        <v>0</v>
      </c>
      <c r="AN21" s="15" t="e">
        <f t="shared" ref="AN21:AN22" si="113">(AM21/AL21-1)*100</f>
        <v>#DIV/0!</v>
      </c>
      <c r="AO21" s="22">
        <v>0</v>
      </c>
      <c r="AP21" s="22">
        <v>0</v>
      </c>
      <c r="AQ21" s="15" t="e">
        <f t="shared" ref="AQ21:AQ22" si="114">(AP21/AO21-1)*100</f>
        <v>#DIV/0!</v>
      </c>
      <c r="AR21" s="23">
        <f>AU21-AO21</f>
        <v>0</v>
      </c>
      <c r="AS21" s="22">
        <f>AV21-AP21</f>
        <v>1</v>
      </c>
      <c r="AT21" s="15" t="e">
        <f t="shared" ref="AT21:AT22" si="115">(AS21/AR21-1)*100</f>
        <v>#DIV/0!</v>
      </c>
      <c r="AU21" s="22">
        <v>0</v>
      </c>
      <c r="AV21" s="22">
        <v>1</v>
      </c>
      <c r="AW21" s="15" t="e">
        <f t="shared" ref="AW21:AW22" si="116">(AV21/AU21-1)*100</f>
        <v>#DIV/0!</v>
      </c>
      <c r="AX21" s="23">
        <f>BA21-AU21</f>
        <v>0</v>
      </c>
      <c r="AY21" s="22">
        <f>BB21-AV21</f>
        <v>0</v>
      </c>
      <c r="AZ21" s="15" t="e">
        <f t="shared" ref="AZ21:AZ22" si="117">(AY21/AX21-1)*100</f>
        <v>#DIV/0!</v>
      </c>
      <c r="BA21" s="22">
        <v>0</v>
      </c>
      <c r="BB21" s="22">
        <v>1</v>
      </c>
      <c r="BC21" s="15" t="e">
        <f t="shared" ref="BC21:BC22" si="118">(BB21/BA21-1)*100</f>
        <v>#DIV/0!</v>
      </c>
      <c r="BD21" s="23">
        <f>BG21-BA21</f>
        <v>1</v>
      </c>
      <c r="BE21" s="22">
        <f>BH21-BB21</f>
        <v>0</v>
      </c>
      <c r="BF21" s="15">
        <f t="shared" ref="BF21:BF22" si="119">(BE21/BD21-1)*100</f>
        <v>-100</v>
      </c>
      <c r="BG21" s="22">
        <v>1</v>
      </c>
      <c r="BH21" s="22">
        <v>1</v>
      </c>
      <c r="BI21" s="15">
        <f t="shared" ref="BI21:BI22" si="120">(BH21/BG21-1)*100</f>
        <v>0</v>
      </c>
      <c r="BJ21" s="23">
        <f>BM21-BG21</f>
        <v>0</v>
      </c>
      <c r="BK21" s="22">
        <f>BN21-BH21</f>
        <v>0</v>
      </c>
      <c r="BL21" s="15" t="e">
        <f t="shared" ref="BL21:BL22" si="121">(BK21/BJ21-1)*100</f>
        <v>#DIV/0!</v>
      </c>
      <c r="BM21" s="22">
        <v>1</v>
      </c>
      <c r="BN21" s="22">
        <v>1</v>
      </c>
      <c r="BO21" s="15">
        <f t="shared" ref="BO21:BO22" si="122">(BN21/BM21-1)*100</f>
        <v>0</v>
      </c>
      <c r="BP21" s="23">
        <f>BS21-BM21</f>
        <v>0</v>
      </c>
      <c r="BQ21" s="22">
        <f>BT21-BN21</f>
        <v>0</v>
      </c>
      <c r="BR21" s="15" t="e">
        <f t="shared" ref="BR21:BR22" si="123">(BQ21/BP21-1)*100</f>
        <v>#DIV/0!</v>
      </c>
      <c r="BS21" s="22">
        <v>1</v>
      </c>
      <c r="BT21" s="22">
        <v>1</v>
      </c>
      <c r="BU21" s="15">
        <f t="shared" ref="BU21:BU22" si="124">(BT21/BS21-1)*100</f>
        <v>0</v>
      </c>
      <c r="BV21" s="23">
        <f>BY21-BS21</f>
        <v>0</v>
      </c>
      <c r="BW21" s="22">
        <f>BZ21-BT21</f>
        <v>0</v>
      </c>
      <c r="BX21" s="15" t="e">
        <f t="shared" ref="BX21:BX22" si="125">(BW21/BV21-1)*100</f>
        <v>#DIV/0!</v>
      </c>
      <c r="BY21" s="22">
        <v>1</v>
      </c>
      <c r="BZ21" s="22">
        <v>1</v>
      </c>
      <c r="CA21" s="15">
        <f t="shared" ref="CA21:CA22" si="126">(BZ21/BY21-1)*100</f>
        <v>0</v>
      </c>
      <c r="CB21" s="6"/>
    </row>
    <row r="22" spans="1:80" s="1" customFormat="1" ht="19.5" customHeight="1">
      <c r="A22" s="152"/>
      <c r="B22" s="120"/>
      <c r="C22" s="33" t="s">
        <v>104</v>
      </c>
      <c r="D22" s="17">
        <v>504</v>
      </c>
      <c r="E22" s="17">
        <v>11008</v>
      </c>
      <c r="F22" s="17">
        <v>14597</v>
      </c>
      <c r="G22" s="17">
        <v>35762</v>
      </c>
      <c r="H22" s="17">
        <v>16996</v>
      </c>
      <c r="I22" s="17">
        <v>12428</v>
      </c>
      <c r="J22" s="17">
        <v>8356</v>
      </c>
      <c r="K22" s="17">
        <v>0</v>
      </c>
      <c r="L22" s="17">
        <v>0</v>
      </c>
      <c r="M22" s="18" t="e">
        <f t="shared" si="0"/>
        <v>#DIV/0!</v>
      </c>
      <c r="N22" s="14">
        <f>Q22-K22</f>
        <v>384</v>
      </c>
      <c r="O22" s="14">
        <f>R22-L22</f>
        <v>0</v>
      </c>
      <c r="P22" s="18">
        <f t="shared" si="1"/>
        <v>-100</v>
      </c>
      <c r="Q22" s="17">
        <v>384</v>
      </c>
      <c r="R22" s="17">
        <v>0</v>
      </c>
      <c r="S22" s="18">
        <f t="shared" si="2"/>
        <v>-100</v>
      </c>
      <c r="T22" s="14">
        <f>W22-Q22</f>
        <v>0</v>
      </c>
      <c r="U22" s="14">
        <f>X22-R22</f>
        <v>0</v>
      </c>
      <c r="V22" s="18" t="e">
        <f t="shared" si="107"/>
        <v>#DIV/0!</v>
      </c>
      <c r="W22" s="17">
        <v>384</v>
      </c>
      <c r="X22" s="17">
        <v>0</v>
      </c>
      <c r="Y22" s="18">
        <f t="shared" si="108"/>
        <v>-100</v>
      </c>
      <c r="Z22" s="14">
        <f>AC22-W22</f>
        <v>0</v>
      </c>
      <c r="AA22" s="14">
        <f>AD22-X22</f>
        <v>1731</v>
      </c>
      <c r="AB22" s="18" t="e">
        <f t="shared" si="109"/>
        <v>#DIV/0!</v>
      </c>
      <c r="AC22" s="17">
        <v>384</v>
      </c>
      <c r="AD22" s="17">
        <v>1731</v>
      </c>
      <c r="AE22" s="18">
        <f t="shared" si="110"/>
        <v>350.78125</v>
      </c>
      <c r="AF22" s="14">
        <f>AI22-AC22</f>
        <v>0</v>
      </c>
      <c r="AG22" s="14">
        <f>AJ22-AD22</f>
        <v>0</v>
      </c>
      <c r="AH22" s="18" t="e">
        <f t="shared" si="111"/>
        <v>#DIV/0!</v>
      </c>
      <c r="AI22" s="17">
        <v>384</v>
      </c>
      <c r="AJ22" s="17">
        <v>1731</v>
      </c>
      <c r="AK22" s="18">
        <f t="shared" si="112"/>
        <v>350.78125</v>
      </c>
      <c r="AL22" s="14">
        <f>AO22-AI22</f>
        <v>0</v>
      </c>
      <c r="AM22" s="14">
        <f>AP22-AJ22</f>
        <v>0</v>
      </c>
      <c r="AN22" s="18" t="e">
        <f t="shared" si="113"/>
        <v>#DIV/0!</v>
      </c>
      <c r="AO22" s="17">
        <v>384</v>
      </c>
      <c r="AP22" s="17">
        <v>1731</v>
      </c>
      <c r="AQ22" s="18">
        <f t="shared" si="114"/>
        <v>350.78125</v>
      </c>
      <c r="AR22" s="14">
        <f>AU22-AO22</f>
        <v>0</v>
      </c>
      <c r="AS22" s="14">
        <f>AV22-AP22</f>
        <v>7489</v>
      </c>
      <c r="AT22" s="18" t="e">
        <f t="shared" si="115"/>
        <v>#DIV/0!</v>
      </c>
      <c r="AU22" s="17">
        <v>384</v>
      </c>
      <c r="AV22" s="17">
        <v>9220</v>
      </c>
      <c r="AW22" s="18">
        <f t="shared" si="116"/>
        <v>2301.041666666667</v>
      </c>
      <c r="AX22" s="14">
        <f>BA22-AU22</f>
        <v>0</v>
      </c>
      <c r="AY22" s="14">
        <f>BB22-AV22</f>
        <v>0</v>
      </c>
      <c r="AZ22" s="18" t="e">
        <f t="shared" si="117"/>
        <v>#DIV/0!</v>
      </c>
      <c r="BA22" s="17">
        <v>384</v>
      </c>
      <c r="BB22" s="17">
        <v>9220</v>
      </c>
      <c r="BC22" s="18">
        <f t="shared" si="118"/>
        <v>2301.041666666667</v>
      </c>
      <c r="BD22" s="14">
        <f>BG22-BA22</f>
        <v>2894</v>
      </c>
      <c r="BE22" s="14">
        <f>BH22-BB22</f>
        <v>4809</v>
      </c>
      <c r="BF22" s="18">
        <f t="shared" si="119"/>
        <v>66.17138908085694</v>
      </c>
      <c r="BG22" s="17">
        <v>3278</v>
      </c>
      <c r="BH22" s="17">
        <v>14029</v>
      </c>
      <c r="BI22" s="18">
        <f t="shared" si="120"/>
        <v>327.97437461866991</v>
      </c>
      <c r="BJ22" s="14">
        <f>BM22-BG22</f>
        <v>4055</v>
      </c>
      <c r="BK22" s="14">
        <f>BN22-BH22</f>
        <v>0</v>
      </c>
      <c r="BL22" s="18">
        <f t="shared" si="121"/>
        <v>-100</v>
      </c>
      <c r="BM22" s="17">
        <v>7333</v>
      </c>
      <c r="BN22" s="17">
        <v>14029</v>
      </c>
      <c r="BO22" s="18">
        <f t="shared" si="122"/>
        <v>91.313241510977775</v>
      </c>
      <c r="BP22" s="14">
        <f>BS22-BM22</f>
        <v>0</v>
      </c>
      <c r="BQ22" s="14">
        <f>BT22-BN22</f>
        <v>0</v>
      </c>
      <c r="BR22" s="18" t="e">
        <f t="shared" si="123"/>
        <v>#DIV/0!</v>
      </c>
      <c r="BS22" s="17">
        <v>7333</v>
      </c>
      <c r="BT22" s="17">
        <v>14029</v>
      </c>
      <c r="BU22" s="18">
        <f t="shared" si="124"/>
        <v>91.313241510977775</v>
      </c>
      <c r="BV22" s="14">
        <f>BY22-BS22</f>
        <v>1023</v>
      </c>
      <c r="BW22" s="14">
        <f>BZ22-BT22</f>
        <v>0</v>
      </c>
      <c r="BX22" s="18">
        <f t="shared" si="125"/>
        <v>-100</v>
      </c>
      <c r="BY22" s="17">
        <v>8356</v>
      </c>
      <c r="BZ22" s="17">
        <v>14029</v>
      </c>
      <c r="CA22" s="18">
        <f t="shared" si="126"/>
        <v>67.891335567257059</v>
      </c>
      <c r="CB22" s="6"/>
    </row>
    <row r="23" spans="1:80" s="1" customFormat="1" ht="19.5" customHeight="1" thickBot="1">
      <c r="A23" s="153"/>
      <c r="B23" s="121"/>
      <c r="C23" s="34" t="s">
        <v>105</v>
      </c>
      <c r="D23" s="19" t="e">
        <f t="shared" ref="D23:L23" si="127">D22/D21</f>
        <v>#DIV/0!</v>
      </c>
      <c r="E23" s="19">
        <f t="shared" si="127"/>
        <v>3669.3333333333335</v>
      </c>
      <c r="F23" s="19">
        <f t="shared" si="127"/>
        <v>1824.625</v>
      </c>
      <c r="G23" s="19">
        <f t="shared" si="127"/>
        <v>812.77272727272725</v>
      </c>
      <c r="H23" s="20">
        <f>H22/H21</f>
        <v>3399.2</v>
      </c>
      <c r="I23" s="20">
        <f>I22/I21</f>
        <v>3107</v>
      </c>
      <c r="J23" s="20">
        <f>J22/J21</f>
        <v>8356</v>
      </c>
      <c r="K23" s="20" t="e">
        <f t="shared" si="127"/>
        <v>#DIV/0!</v>
      </c>
      <c r="L23" s="20" t="e">
        <f t="shared" si="127"/>
        <v>#DIV/0!</v>
      </c>
      <c r="M23" s="47"/>
      <c r="N23" s="20" t="e">
        <f>N22/N21</f>
        <v>#DIV/0!</v>
      </c>
      <c r="O23" s="20" t="e">
        <f>O22/O21</f>
        <v>#DIV/0!</v>
      </c>
      <c r="P23" s="47"/>
      <c r="Q23" s="20" t="e">
        <f>Q22/Q21</f>
        <v>#DIV/0!</v>
      </c>
      <c r="R23" s="20" t="e">
        <f>R22/R21</f>
        <v>#DIV/0!</v>
      </c>
      <c r="S23" s="47"/>
      <c r="T23" s="20" t="e">
        <f>T22/T21</f>
        <v>#DIV/0!</v>
      </c>
      <c r="U23" s="20" t="e">
        <f>U22/U21</f>
        <v>#DIV/0!</v>
      </c>
      <c r="V23" s="47"/>
      <c r="W23" s="20" t="e">
        <f>W22/W21</f>
        <v>#DIV/0!</v>
      </c>
      <c r="X23" s="20" t="e">
        <f>X22/X21</f>
        <v>#DIV/0!</v>
      </c>
      <c r="Y23" s="47"/>
      <c r="Z23" s="20" t="e">
        <f>Z22/Z21</f>
        <v>#DIV/0!</v>
      </c>
      <c r="AA23" s="20" t="e">
        <f>AA22/AA21</f>
        <v>#DIV/0!</v>
      </c>
      <c r="AB23" s="47"/>
      <c r="AC23" s="20" t="e">
        <f>AC22/AC21</f>
        <v>#DIV/0!</v>
      </c>
      <c r="AD23" s="20" t="e">
        <f>AD22/AD21</f>
        <v>#DIV/0!</v>
      </c>
      <c r="AE23" s="47"/>
      <c r="AF23" s="20" t="e">
        <f>AF22/AF21</f>
        <v>#DIV/0!</v>
      </c>
      <c r="AG23" s="20" t="e">
        <f>AG22/AG21</f>
        <v>#DIV/0!</v>
      </c>
      <c r="AH23" s="47"/>
      <c r="AI23" s="20" t="e">
        <f>AI22/AI21</f>
        <v>#DIV/0!</v>
      </c>
      <c r="AJ23" s="20" t="e">
        <f>AJ22/AJ21</f>
        <v>#DIV/0!</v>
      </c>
      <c r="AK23" s="47"/>
      <c r="AL23" s="20" t="e">
        <f>AL22/AL21</f>
        <v>#DIV/0!</v>
      </c>
      <c r="AM23" s="20" t="e">
        <f>AM22/AM21</f>
        <v>#DIV/0!</v>
      </c>
      <c r="AN23" s="47"/>
      <c r="AO23" s="20" t="e">
        <f>AO22/AO21</f>
        <v>#DIV/0!</v>
      </c>
      <c r="AP23" s="20" t="e">
        <f>AP22/AP21</f>
        <v>#DIV/0!</v>
      </c>
      <c r="AQ23" s="47"/>
      <c r="AR23" s="20" t="e">
        <f>AR22/AR21</f>
        <v>#DIV/0!</v>
      </c>
      <c r="AS23" s="20">
        <f>AS22/AS21</f>
        <v>7489</v>
      </c>
      <c r="AT23" s="47"/>
      <c r="AU23" s="20" t="e">
        <f>AU22/AU21</f>
        <v>#DIV/0!</v>
      </c>
      <c r="AV23" s="20">
        <f>AV22/AV21</f>
        <v>9220</v>
      </c>
      <c r="AW23" s="47"/>
      <c r="AX23" s="20" t="e">
        <f>AX22/AX21</f>
        <v>#DIV/0!</v>
      </c>
      <c r="AY23" s="20" t="e">
        <f>AY22/AY21</f>
        <v>#DIV/0!</v>
      </c>
      <c r="AZ23" s="47"/>
      <c r="BA23" s="20" t="e">
        <f>BA22/BA21</f>
        <v>#DIV/0!</v>
      </c>
      <c r="BB23" s="20">
        <f>BB22/BB21</f>
        <v>9220</v>
      </c>
      <c r="BC23" s="47"/>
      <c r="BD23" s="20">
        <f>BD22/BD21</f>
        <v>2894</v>
      </c>
      <c r="BE23" s="20" t="e">
        <f>BE22/BE21</f>
        <v>#DIV/0!</v>
      </c>
      <c r="BF23" s="47"/>
      <c r="BG23" s="20">
        <f>BG22/BG21</f>
        <v>3278</v>
      </c>
      <c r="BH23" s="20">
        <f>BH22/BH21</f>
        <v>14029</v>
      </c>
      <c r="BI23" s="47"/>
      <c r="BJ23" s="20" t="e">
        <f>BJ22/BJ21</f>
        <v>#DIV/0!</v>
      </c>
      <c r="BK23" s="20" t="e">
        <f>BK22/BK21</f>
        <v>#DIV/0!</v>
      </c>
      <c r="BL23" s="47"/>
      <c r="BM23" s="20">
        <f>BM22/BM21</f>
        <v>7333</v>
      </c>
      <c r="BN23" s="20">
        <f>BN22/BN21</f>
        <v>14029</v>
      </c>
      <c r="BO23" s="47"/>
      <c r="BP23" s="20" t="e">
        <f>BP22/BP21</f>
        <v>#DIV/0!</v>
      </c>
      <c r="BQ23" s="20" t="e">
        <f>BQ22/BQ21</f>
        <v>#DIV/0!</v>
      </c>
      <c r="BR23" s="47"/>
      <c r="BS23" s="20">
        <f>BS22/BS21</f>
        <v>7333</v>
      </c>
      <c r="BT23" s="20">
        <f>BT22/BT21</f>
        <v>14029</v>
      </c>
      <c r="BU23" s="47"/>
      <c r="BV23" s="20" t="e">
        <f>BV22/BV21</f>
        <v>#DIV/0!</v>
      </c>
      <c r="BW23" s="20" t="e">
        <f>BW22/BW21</f>
        <v>#DIV/0!</v>
      </c>
      <c r="BX23" s="47"/>
      <c r="BY23" s="20">
        <f>BY22/BY21</f>
        <v>8356</v>
      </c>
      <c r="BZ23" s="20">
        <f>BZ22/BZ21</f>
        <v>14029</v>
      </c>
      <c r="CA23" s="47"/>
      <c r="CB23" s="6"/>
    </row>
    <row r="24" spans="1:80" s="1" customFormat="1" ht="19.5" customHeight="1">
      <c r="A24" s="164" t="s">
        <v>112</v>
      </c>
      <c r="B24" s="114" t="s">
        <v>29</v>
      </c>
      <c r="C24" s="32" t="s">
        <v>42</v>
      </c>
      <c r="D24" s="22">
        <v>2826</v>
      </c>
      <c r="E24" s="22">
        <v>2430</v>
      </c>
      <c r="F24" s="22">
        <v>39824</v>
      </c>
      <c r="G24" s="22">
        <v>6193</v>
      </c>
      <c r="H24" s="22">
        <v>2570</v>
      </c>
      <c r="I24" s="22">
        <v>16746</v>
      </c>
      <c r="J24" s="22">
        <v>57191</v>
      </c>
      <c r="K24" s="22">
        <v>16386</v>
      </c>
      <c r="L24" s="22">
        <v>499</v>
      </c>
      <c r="M24" s="15">
        <f t="shared" si="0"/>
        <v>-96.954717441718543</v>
      </c>
      <c r="N24" s="23">
        <f>Q24-K24</f>
        <v>205</v>
      </c>
      <c r="O24" s="22">
        <f>R24-L24</f>
        <v>1095</v>
      </c>
      <c r="P24" s="15">
        <f t="shared" si="1"/>
        <v>434.14634146341467</v>
      </c>
      <c r="Q24" s="22">
        <v>16591</v>
      </c>
      <c r="R24" s="22">
        <v>1594</v>
      </c>
      <c r="S24" s="15">
        <f t="shared" si="2"/>
        <v>-90.392381411608696</v>
      </c>
      <c r="T24" s="23">
        <f>W24-Q24</f>
        <v>6371</v>
      </c>
      <c r="U24" s="22">
        <f>X24-R24</f>
        <v>1237</v>
      </c>
      <c r="V24" s="15">
        <f t="shared" ref="V24:V25" si="128">(U24/T24-1)*100</f>
        <v>-80.583895777742896</v>
      </c>
      <c r="W24" s="22">
        <v>22962</v>
      </c>
      <c r="X24" s="22">
        <v>2831</v>
      </c>
      <c r="Y24" s="15">
        <f t="shared" ref="Y24:Y25" si="129">(X24/W24-1)*100</f>
        <v>-87.670934587579481</v>
      </c>
      <c r="Z24" s="23">
        <f>AC24-W24</f>
        <v>5265</v>
      </c>
      <c r="AA24" s="22">
        <f>AD24-X24</f>
        <v>15850</v>
      </c>
      <c r="AB24" s="15">
        <f t="shared" ref="AB24:AB25" si="130">(AA24/Z24-1)*100</f>
        <v>201.04463437796772</v>
      </c>
      <c r="AC24" s="22">
        <v>28227</v>
      </c>
      <c r="AD24" s="22">
        <v>18681</v>
      </c>
      <c r="AE24" s="15">
        <f t="shared" ref="AE24:AE25" si="131">(AD24/AC24-1)*100</f>
        <v>-33.818684238495052</v>
      </c>
      <c r="AF24" s="23">
        <f>AI24-AC24</f>
        <v>5290</v>
      </c>
      <c r="AG24" s="22">
        <f>AJ24-AD24</f>
        <v>12111</v>
      </c>
      <c r="AH24" s="15">
        <f t="shared" ref="AH24:AH25" si="132">(AG24/AF24-1)*100</f>
        <v>128.94139886578449</v>
      </c>
      <c r="AI24" s="22">
        <v>33517</v>
      </c>
      <c r="AJ24" s="22">
        <v>30792</v>
      </c>
      <c r="AK24" s="15">
        <f t="shared" ref="AK24:AK25" si="133">(AJ24/AI24-1)*100</f>
        <v>-8.1302025837634684</v>
      </c>
      <c r="AL24" s="23">
        <f>AO24-AI24</f>
        <v>226</v>
      </c>
      <c r="AM24" s="22">
        <f>AP24-AJ24</f>
        <v>664</v>
      </c>
      <c r="AN24" s="15">
        <f t="shared" ref="AN24:AN25" si="134">(AM24/AL24-1)*100</f>
        <v>193.80530973451329</v>
      </c>
      <c r="AO24" s="22">
        <v>33743</v>
      </c>
      <c r="AP24" s="22">
        <v>31456</v>
      </c>
      <c r="AQ24" s="15">
        <f t="shared" ref="AQ24:AQ25" si="135">(AP24/AO24-1)*100</f>
        <v>-6.7777020419049876</v>
      </c>
      <c r="AR24" s="23">
        <f>AU24-AO24</f>
        <v>551</v>
      </c>
      <c r="AS24" s="22">
        <f>AV24-AP24</f>
        <v>408</v>
      </c>
      <c r="AT24" s="15">
        <f t="shared" ref="AT24:AT25" si="136">(AS24/AR24-1)*100</f>
        <v>-25.952813067150636</v>
      </c>
      <c r="AU24" s="22">
        <v>34294</v>
      </c>
      <c r="AV24" s="22">
        <v>31864</v>
      </c>
      <c r="AW24" s="15">
        <f t="shared" ref="AW24:AW25" si="137">(AV24/AU24-1)*100</f>
        <v>-7.0857876013296739</v>
      </c>
      <c r="AX24" s="23">
        <f>BA24-AU24</f>
        <v>274</v>
      </c>
      <c r="AY24" s="22">
        <f>BB24-AV24</f>
        <v>2516</v>
      </c>
      <c r="AZ24" s="15">
        <f t="shared" ref="AZ24:AZ25" si="138">(AY24/AX24-1)*100</f>
        <v>818.24817518248165</v>
      </c>
      <c r="BA24" s="22">
        <v>34568</v>
      </c>
      <c r="BB24" s="22">
        <v>34380</v>
      </c>
      <c r="BC24" s="15">
        <f t="shared" ref="BC24:BC25" si="139">(BB24/BA24-1)*100</f>
        <v>-0.54385558898403241</v>
      </c>
      <c r="BD24" s="23">
        <f>BG24-BA24</f>
        <v>418</v>
      </c>
      <c r="BE24" s="22">
        <f>BH24-BB24</f>
        <v>4107</v>
      </c>
      <c r="BF24" s="15">
        <f t="shared" ref="BF24:BF25" si="140">(BE24/BD24-1)*100</f>
        <v>882.53588516746413</v>
      </c>
      <c r="BG24" s="22">
        <v>34986</v>
      </c>
      <c r="BH24" s="22">
        <v>38487</v>
      </c>
      <c r="BI24" s="15">
        <f t="shared" ref="BI24:BI25" si="141">(BH24/BG24-1)*100</f>
        <v>10.006859886811871</v>
      </c>
      <c r="BJ24" s="23">
        <f>BM24-BG24</f>
        <v>4256</v>
      </c>
      <c r="BK24" s="22">
        <f>BN24-BH24</f>
        <v>229</v>
      </c>
      <c r="BL24" s="15">
        <f t="shared" ref="BL24:BL25" si="142">(BK24/BJ24-1)*100</f>
        <v>-94.61936090225565</v>
      </c>
      <c r="BM24" s="22">
        <v>39242</v>
      </c>
      <c r="BN24" s="22">
        <v>38716</v>
      </c>
      <c r="BO24" s="15">
        <f t="shared" ref="BO24:BO25" si="143">(BN24/BM24-1)*100</f>
        <v>-1.3404005912033057</v>
      </c>
      <c r="BP24" s="23">
        <f>BS24-BM24</f>
        <v>395</v>
      </c>
      <c r="BQ24" s="22">
        <f>BT24-BN24</f>
        <v>6805</v>
      </c>
      <c r="BR24" s="15">
        <f t="shared" ref="BR24:BR25" si="144">(BQ24/BP24-1)*100</f>
        <v>1622.7848101265824</v>
      </c>
      <c r="BS24" s="22">
        <v>39637</v>
      </c>
      <c r="BT24" s="22">
        <v>45521</v>
      </c>
      <c r="BU24" s="15">
        <f t="shared" ref="BU24:BU25" si="145">(BT24/BS24-1)*100</f>
        <v>14.844715795847318</v>
      </c>
      <c r="BV24" s="23">
        <f>BY24-BS24</f>
        <v>17554</v>
      </c>
      <c r="BW24" s="22">
        <f>BZ24-BT24</f>
        <v>1632</v>
      </c>
      <c r="BX24" s="15">
        <f t="shared" ref="BX24:BX25" si="146">(BW24/BV24-1)*100</f>
        <v>-90.702973681212256</v>
      </c>
      <c r="BY24" s="22">
        <v>57191</v>
      </c>
      <c r="BZ24" s="22">
        <v>47153</v>
      </c>
      <c r="CA24" s="15">
        <f t="shared" ref="CA24:CA25" si="147">(BZ24/BY24-1)*100</f>
        <v>-17.551712682065357</v>
      </c>
      <c r="CB24" s="6"/>
    </row>
    <row r="25" spans="1:80" s="1" customFormat="1" ht="19.5" customHeight="1">
      <c r="A25" s="152"/>
      <c r="B25" s="120"/>
      <c r="C25" s="33" t="s">
        <v>104</v>
      </c>
      <c r="D25" s="17">
        <v>440108</v>
      </c>
      <c r="E25" s="17">
        <v>522021</v>
      </c>
      <c r="F25" s="17">
        <v>3142951</v>
      </c>
      <c r="G25" s="17">
        <v>2710814</v>
      </c>
      <c r="H25" s="17">
        <v>1378223</v>
      </c>
      <c r="I25" s="17">
        <v>2442248</v>
      </c>
      <c r="J25" s="17">
        <v>6342220</v>
      </c>
      <c r="K25" s="17">
        <v>1121664</v>
      </c>
      <c r="L25" s="17">
        <v>304393</v>
      </c>
      <c r="M25" s="18">
        <f t="shared" si="0"/>
        <v>-72.86237233253452</v>
      </c>
      <c r="N25" s="14">
        <f>Q25-K25</f>
        <v>257740</v>
      </c>
      <c r="O25" s="14">
        <f>R25-L25</f>
        <v>226137</v>
      </c>
      <c r="P25" s="18">
        <f t="shared" si="1"/>
        <v>-12.261581438659119</v>
      </c>
      <c r="Q25" s="17">
        <v>1379404</v>
      </c>
      <c r="R25" s="17">
        <v>530530</v>
      </c>
      <c r="S25" s="18">
        <f t="shared" si="2"/>
        <v>-61.539186489237373</v>
      </c>
      <c r="T25" s="14">
        <f>W25-Q25</f>
        <v>612179</v>
      </c>
      <c r="U25" s="14">
        <f>X25-R25</f>
        <v>163490</v>
      </c>
      <c r="V25" s="18">
        <f t="shared" si="128"/>
        <v>-73.293758851577721</v>
      </c>
      <c r="W25" s="17">
        <v>1991583</v>
      </c>
      <c r="X25" s="17">
        <v>694020</v>
      </c>
      <c r="Y25" s="18">
        <f t="shared" si="129"/>
        <v>-65.152343638201373</v>
      </c>
      <c r="Z25" s="14">
        <f>AC25-W25</f>
        <v>628327</v>
      </c>
      <c r="AA25" s="14">
        <f>AD25-X25</f>
        <v>463885</v>
      </c>
      <c r="AB25" s="18">
        <f t="shared" si="130"/>
        <v>-26.171404380203299</v>
      </c>
      <c r="AC25" s="17">
        <v>2619910</v>
      </c>
      <c r="AD25" s="17">
        <v>1157905</v>
      </c>
      <c r="AE25" s="18">
        <f t="shared" si="131"/>
        <v>-55.803634475993455</v>
      </c>
      <c r="AF25" s="14">
        <f>AI25-AC25</f>
        <v>601559</v>
      </c>
      <c r="AG25" s="14">
        <f>AJ25-AD25</f>
        <v>487274</v>
      </c>
      <c r="AH25" s="18">
        <f t="shared" si="132"/>
        <v>-18.998136508638385</v>
      </c>
      <c r="AI25" s="17">
        <v>3221469</v>
      </c>
      <c r="AJ25" s="17">
        <v>1645179</v>
      </c>
      <c r="AK25" s="18">
        <f t="shared" si="133"/>
        <v>-48.930782819887455</v>
      </c>
      <c r="AL25" s="14">
        <f>AO25-AI25</f>
        <v>150403</v>
      </c>
      <c r="AM25" s="14">
        <f>AP25-AJ25</f>
        <v>216088</v>
      </c>
      <c r="AN25" s="18">
        <f t="shared" si="134"/>
        <v>43.672666103734635</v>
      </c>
      <c r="AO25" s="17">
        <v>3371872</v>
      </c>
      <c r="AP25" s="17">
        <v>1861267</v>
      </c>
      <c r="AQ25" s="18">
        <f t="shared" si="135"/>
        <v>-44.800188144745711</v>
      </c>
      <c r="AR25" s="14">
        <f>AU25-AO25</f>
        <v>297052</v>
      </c>
      <c r="AS25" s="14">
        <f>AV25-AP25</f>
        <v>271476</v>
      </c>
      <c r="AT25" s="18">
        <f t="shared" si="136"/>
        <v>-8.6099403471446063</v>
      </c>
      <c r="AU25" s="17">
        <v>3668924</v>
      </c>
      <c r="AV25" s="17">
        <v>2132743</v>
      </c>
      <c r="AW25" s="18">
        <f t="shared" si="137"/>
        <v>-41.870068717694885</v>
      </c>
      <c r="AX25" s="14">
        <f>BA25-AU25</f>
        <v>261646</v>
      </c>
      <c r="AY25" s="14">
        <f>BB25-AV25</f>
        <v>309195</v>
      </c>
      <c r="AZ25" s="18">
        <f t="shared" si="138"/>
        <v>18.173027678619214</v>
      </c>
      <c r="BA25" s="17">
        <v>3930570</v>
      </c>
      <c r="BB25" s="17">
        <v>2441938</v>
      </c>
      <c r="BC25" s="18">
        <f t="shared" si="139"/>
        <v>-37.873183787593149</v>
      </c>
      <c r="BD25" s="14">
        <f>BG25-BA25</f>
        <v>180754</v>
      </c>
      <c r="BE25" s="14">
        <f>BH25-BB25</f>
        <v>235571</v>
      </c>
      <c r="BF25" s="18">
        <f t="shared" si="140"/>
        <v>30.326853071024718</v>
      </c>
      <c r="BG25" s="17">
        <v>4111324</v>
      </c>
      <c r="BH25" s="17">
        <v>2677509</v>
      </c>
      <c r="BI25" s="18">
        <f t="shared" si="141"/>
        <v>-34.87477513326607</v>
      </c>
      <c r="BJ25" s="14">
        <f>BM25-BG25</f>
        <v>512722</v>
      </c>
      <c r="BK25" s="14">
        <f>BN25-BH25</f>
        <v>166471</v>
      </c>
      <c r="BL25" s="18">
        <f t="shared" si="142"/>
        <v>-67.531917881425031</v>
      </c>
      <c r="BM25" s="17">
        <v>4624046</v>
      </c>
      <c r="BN25" s="17">
        <v>2843980</v>
      </c>
      <c r="BO25" s="18">
        <f t="shared" si="143"/>
        <v>-38.495854063735521</v>
      </c>
      <c r="BP25" s="14">
        <f>BS25-BM25</f>
        <v>229796</v>
      </c>
      <c r="BQ25" s="14">
        <f>BT25-BN25</f>
        <v>365394</v>
      </c>
      <c r="BR25" s="18">
        <f t="shared" si="144"/>
        <v>59.007989695207932</v>
      </c>
      <c r="BS25" s="17">
        <v>4853842</v>
      </c>
      <c r="BT25" s="17">
        <v>3209374</v>
      </c>
      <c r="BU25" s="18">
        <f t="shared" si="145"/>
        <v>-33.879718375670244</v>
      </c>
      <c r="BV25" s="14">
        <f>BY25-BS25</f>
        <v>1488378</v>
      </c>
      <c r="BW25" s="14">
        <f>BZ25-BT25</f>
        <v>270804</v>
      </c>
      <c r="BX25" s="18">
        <f t="shared" si="146"/>
        <v>-81.805428459705794</v>
      </c>
      <c r="BY25" s="17">
        <v>6342220</v>
      </c>
      <c r="BZ25" s="17">
        <v>3480178</v>
      </c>
      <c r="CA25" s="18">
        <f t="shared" si="147"/>
        <v>-45.12681679285803</v>
      </c>
      <c r="CB25" s="6"/>
    </row>
    <row r="26" spans="1:80" s="1" customFormat="1" ht="19.5" customHeight="1" thickBot="1">
      <c r="A26" s="153"/>
      <c r="B26" s="121"/>
      <c r="C26" s="34" t="s">
        <v>105</v>
      </c>
      <c r="D26" s="19">
        <f t="shared" ref="D26:L26" si="148">D25/D24</f>
        <v>155.73531493276715</v>
      </c>
      <c r="E26" s="19">
        <f t="shared" si="148"/>
        <v>214.82345679012346</v>
      </c>
      <c r="F26" s="19">
        <f t="shared" si="148"/>
        <v>78.92102752109281</v>
      </c>
      <c r="G26" s="19">
        <f t="shared" si="148"/>
        <v>437.72226707573066</v>
      </c>
      <c r="H26" s="20">
        <f>H25/H24</f>
        <v>536.2735408560311</v>
      </c>
      <c r="I26" s="20">
        <f>I25/I24</f>
        <v>145.84067837095427</v>
      </c>
      <c r="J26" s="20">
        <f>J25/J24</f>
        <v>110.89542060813764</v>
      </c>
      <c r="K26" s="20">
        <f t="shared" si="148"/>
        <v>68.452581471988282</v>
      </c>
      <c r="L26" s="20">
        <f t="shared" si="148"/>
        <v>610.00601202404812</v>
      </c>
      <c r="M26" s="47"/>
      <c r="N26" s="20">
        <f>N25/N24</f>
        <v>1257.2682926829268</v>
      </c>
      <c r="O26" s="20">
        <f>O25/O24</f>
        <v>206.51780821917808</v>
      </c>
      <c r="P26" s="47"/>
      <c r="Q26" s="20">
        <f>Q25/Q24</f>
        <v>83.141703333132426</v>
      </c>
      <c r="R26" s="20">
        <f>R25/R24</f>
        <v>332.82936010037639</v>
      </c>
      <c r="S26" s="47"/>
      <c r="T26" s="20">
        <f>T25/T24</f>
        <v>96.088369172814311</v>
      </c>
      <c r="U26" s="20">
        <f>U25/U24</f>
        <v>132.16653193209376</v>
      </c>
      <c r="V26" s="47"/>
      <c r="W26" s="20">
        <f>W25/W24</f>
        <v>86.733864645936762</v>
      </c>
      <c r="X26" s="20">
        <f>X25/X24</f>
        <v>245.15012363122571</v>
      </c>
      <c r="Y26" s="47"/>
      <c r="Z26" s="20">
        <f>Z25/Z24</f>
        <v>119.34036087369421</v>
      </c>
      <c r="AA26" s="20">
        <f>AA25/AA24</f>
        <v>29.267192429022082</v>
      </c>
      <c r="AB26" s="47"/>
      <c r="AC26" s="20">
        <f>AC25/AC24</f>
        <v>92.815743791405396</v>
      </c>
      <c r="AD26" s="20">
        <f>AD25/AD24</f>
        <v>61.983030886997483</v>
      </c>
      <c r="AE26" s="47"/>
      <c r="AF26" s="20">
        <f>AF25/AF24</f>
        <v>113.71625708884689</v>
      </c>
      <c r="AG26" s="20">
        <f>AG25/AG24</f>
        <v>40.234002146808685</v>
      </c>
      <c r="AH26" s="47"/>
      <c r="AI26" s="20">
        <f>AI25/AI24</f>
        <v>96.114479219500552</v>
      </c>
      <c r="AJ26" s="20">
        <f>AJ25/AJ24</f>
        <v>53.428780202650039</v>
      </c>
      <c r="AK26" s="47"/>
      <c r="AL26" s="20">
        <f>AL25/AL24</f>
        <v>665.5</v>
      </c>
      <c r="AM26" s="20">
        <f>AM25/AM24</f>
        <v>325.43373493975906</v>
      </c>
      <c r="AN26" s="47"/>
      <c r="AO26" s="20">
        <f>AO25/AO24</f>
        <v>99.928044335121356</v>
      </c>
      <c r="AP26" s="20">
        <f>AP25/AP24</f>
        <v>59.170492115971513</v>
      </c>
      <c r="AQ26" s="47"/>
      <c r="AR26" s="20">
        <f>AR25/AR24</f>
        <v>539.11433756805809</v>
      </c>
      <c r="AS26" s="20">
        <f>AS25/AS24</f>
        <v>665.38235294117646</v>
      </c>
      <c r="AT26" s="47"/>
      <c r="AU26" s="20">
        <f>AU25/AU24</f>
        <v>106.98442876304892</v>
      </c>
      <c r="AV26" s="20">
        <f>AV25/AV24</f>
        <v>66.932682651267882</v>
      </c>
      <c r="AW26" s="47"/>
      <c r="AX26" s="20">
        <f>AX25/AX24</f>
        <v>954.91240875912411</v>
      </c>
      <c r="AY26" s="20">
        <f>AY25/AY24</f>
        <v>122.89149443561209</v>
      </c>
      <c r="AZ26" s="47"/>
      <c r="BA26" s="20">
        <f>BA25/BA24</f>
        <v>113.70545012728535</v>
      </c>
      <c r="BB26" s="20">
        <f>BB25/BB24</f>
        <v>71.027865037812688</v>
      </c>
      <c r="BC26" s="47"/>
      <c r="BD26" s="20">
        <f>BD25/BD24</f>
        <v>432.42583732057415</v>
      </c>
      <c r="BE26" s="20">
        <f>BE25/BE24</f>
        <v>57.358412466520576</v>
      </c>
      <c r="BF26" s="47"/>
      <c r="BG26" s="20">
        <f>BG25/BG24</f>
        <v>117.51340536214485</v>
      </c>
      <c r="BH26" s="20">
        <f>BH25/BH24</f>
        <v>69.569179203367369</v>
      </c>
      <c r="BI26" s="47"/>
      <c r="BJ26" s="20">
        <f>BJ25/BJ24</f>
        <v>120.47039473684211</v>
      </c>
      <c r="BK26" s="20">
        <f>BK25/BK24</f>
        <v>726.94759825327515</v>
      </c>
      <c r="BL26" s="47"/>
      <c r="BM26" s="20">
        <f>BM25/BM24</f>
        <v>117.83410631466286</v>
      </c>
      <c r="BN26" s="20">
        <f>BN25/BN24</f>
        <v>73.457485277404686</v>
      </c>
      <c r="BO26" s="47"/>
      <c r="BP26" s="20">
        <f>BP25/BP24</f>
        <v>581.76202531645572</v>
      </c>
      <c r="BQ26" s="20">
        <f>BQ25/BQ24</f>
        <v>53.694930198383538</v>
      </c>
      <c r="BR26" s="47"/>
      <c r="BS26" s="20">
        <f>BS25/BS24</f>
        <v>122.4573504553826</v>
      </c>
      <c r="BT26" s="20">
        <f>BT25/BT24</f>
        <v>70.503152391204054</v>
      </c>
      <c r="BU26" s="47"/>
      <c r="BV26" s="20">
        <f>BV25/BV24</f>
        <v>84.788538224906006</v>
      </c>
      <c r="BW26" s="20">
        <f>BW25/BW24</f>
        <v>165.93382352941177</v>
      </c>
      <c r="BX26" s="47"/>
      <c r="BY26" s="20">
        <f>BY25/BY24</f>
        <v>110.89542060813764</v>
      </c>
      <c r="BZ26" s="20">
        <f>BZ25/BZ24</f>
        <v>73.806078086229931</v>
      </c>
      <c r="CA26" s="47"/>
      <c r="CB26" s="6"/>
    </row>
    <row r="27" spans="1:80" s="1" customFormat="1" ht="19.5" customHeight="1">
      <c r="A27" s="164" t="s">
        <v>113</v>
      </c>
      <c r="B27" s="114" t="s">
        <v>30</v>
      </c>
      <c r="C27" s="32" t="s">
        <v>42</v>
      </c>
      <c r="D27" s="22">
        <v>1893812</v>
      </c>
      <c r="E27" s="22">
        <v>1727941</v>
      </c>
      <c r="F27" s="22">
        <v>1179351</v>
      </c>
      <c r="G27" s="22">
        <v>1869239</v>
      </c>
      <c r="H27" s="22">
        <v>2031017</v>
      </c>
      <c r="I27" s="22">
        <v>7533226</v>
      </c>
      <c r="J27" s="22">
        <v>5056233</v>
      </c>
      <c r="K27" s="22">
        <v>1181507</v>
      </c>
      <c r="L27" s="22">
        <v>507329</v>
      </c>
      <c r="M27" s="15">
        <f t="shared" si="0"/>
        <v>-57.060855331369176</v>
      </c>
      <c r="N27" s="23">
        <f>Q27-K27</f>
        <v>891109</v>
      </c>
      <c r="O27" s="22">
        <f>R27-L27</f>
        <v>341562</v>
      </c>
      <c r="P27" s="15">
        <f t="shared" si="1"/>
        <v>-61.670008943911455</v>
      </c>
      <c r="Q27" s="22">
        <v>2072616</v>
      </c>
      <c r="R27" s="22">
        <v>848891</v>
      </c>
      <c r="S27" s="15">
        <f t="shared" si="2"/>
        <v>-59.042533686896178</v>
      </c>
      <c r="T27" s="23">
        <f>W27-Q27</f>
        <v>321765</v>
      </c>
      <c r="U27" s="22">
        <f>X27-R27</f>
        <v>1020716</v>
      </c>
      <c r="V27" s="15">
        <f t="shared" ref="V27:V28" si="149">(U27/T27-1)*100</f>
        <v>217.22406103833544</v>
      </c>
      <c r="W27" s="22">
        <v>2394381</v>
      </c>
      <c r="X27" s="22">
        <v>1869607</v>
      </c>
      <c r="Y27" s="15">
        <f t="shared" ref="Y27:Y28" si="150">(X27/W27-1)*100</f>
        <v>-21.916896266717789</v>
      </c>
      <c r="Z27" s="23">
        <f>AC27-W27</f>
        <v>329402</v>
      </c>
      <c r="AA27" s="22">
        <f>AD27-X27</f>
        <v>680009</v>
      </c>
      <c r="AB27" s="15">
        <f t="shared" ref="AB27:AB28" si="151">(AA27/Z27-1)*100</f>
        <v>106.4374229664665</v>
      </c>
      <c r="AC27" s="22">
        <v>2723783</v>
      </c>
      <c r="AD27" s="22">
        <v>2549616</v>
      </c>
      <c r="AE27" s="15">
        <f t="shared" ref="AE27:AE28" si="152">(AD27/AC27-1)*100</f>
        <v>-6.3943052732174372</v>
      </c>
      <c r="AF27" s="23">
        <f>AI27-AC27</f>
        <v>117450</v>
      </c>
      <c r="AG27" s="22">
        <f>AJ27-AD27</f>
        <v>366500</v>
      </c>
      <c r="AH27" s="15">
        <f t="shared" ref="AH27:AH28" si="153">(AG27/AF27-1)*100</f>
        <v>212.04767986377183</v>
      </c>
      <c r="AI27" s="22">
        <v>2841233</v>
      </c>
      <c r="AJ27" s="22">
        <v>2916116</v>
      </c>
      <c r="AK27" s="15">
        <f t="shared" ref="AK27:AK28" si="154">(AJ27/AI27-1)*100</f>
        <v>2.6355811015851272</v>
      </c>
      <c r="AL27" s="23">
        <f>AO27-AI27</f>
        <v>448853</v>
      </c>
      <c r="AM27" s="22">
        <f>AP27-AJ27</f>
        <v>385252</v>
      </c>
      <c r="AN27" s="15">
        <f t="shared" ref="AN27:AN28" si="155">(AM27/AL27-1)*100</f>
        <v>-14.169672476289563</v>
      </c>
      <c r="AO27" s="22">
        <v>3290086</v>
      </c>
      <c r="AP27" s="22">
        <v>3301368</v>
      </c>
      <c r="AQ27" s="15">
        <f t="shared" ref="AQ27:AQ28" si="156">(AP27/AO27-1)*100</f>
        <v>0.34290896955277983</v>
      </c>
      <c r="AR27" s="23">
        <f>AU27-AO27</f>
        <v>368824</v>
      </c>
      <c r="AS27" s="22">
        <f>AV27-AP27</f>
        <v>107589</v>
      </c>
      <c r="AT27" s="15">
        <f t="shared" ref="AT27:AT28" si="157">(AS27/AR27-1)*100</f>
        <v>-70.829175975533047</v>
      </c>
      <c r="AU27" s="22">
        <v>3658910</v>
      </c>
      <c r="AV27" s="22">
        <v>3408957</v>
      </c>
      <c r="AW27" s="15">
        <f t="shared" ref="AW27:AW28" si="158">(AV27/AU27-1)*100</f>
        <v>-6.8313514133990676</v>
      </c>
      <c r="AX27" s="23">
        <f>BA27-AU27</f>
        <v>146257</v>
      </c>
      <c r="AY27" s="22">
        <f>BB27-AV27</f>
        <v>120352</v>
      </c>
      <c r="AZ27" s="15">
        <f t="shared" ref="AZ27:AZ28" si="159">(AY27/AX27-1)*100</f>
        <v>-17.711972760278137</v>
      </c>
      <c r="BA27" s="22">
        <v>3805167</v>
      </c>
      <c r="BB27" s="22">
        <v>3529309</v>
      </c>
      <c r="BC27" s="15">
        <f t="shared" ref="BC27:BC28" si="160">(BB27/BA27-1)*100</f>
        <v>-7.2495635539780556</v>
      </c>
      <c r="BD27" s="23">
        <f>BG27-BA27</f>
        <v>21636</v>
      </c>
      <c r="BE27" s="22">
        <f>BH27-BB27</f>
        <v>52236</v>
      </c>
      <c r="BF27" s="15">
        <f t="shared" ref="BF27:BF28" si="161">(BE27/BD27-1)*100</f>
        <v>141.43094841930116</v>
      </c>
      <c r="BG27" s="22">
        <v>3826803</v>
      </c>
      <c r="BH27" s="22">
        <v>3581545</v>
      </c>
      <c r="BI27" s="15">
        <f t="shared" ref="BI27:BI28" si="162">(BH27/BG27-1)*100</f>
        <v>-6.4089528517668697</v>
      </c>
      <c r="BJ27" s="23">
        <f>BM27-BG27</f>
        <v>147323</v>
      </c>
      <c r="BK27" s="22">
        <f>BN27-BH27</f>
        <v>126632</v>
      </c>
      <c r="BL27" s="15">
        <f t="shared" ref="BL27:BL28" si="163">(BK27/BJ27-1)*100</f>
        <v>-14.044650190397967</v>
      </c>
      <c r="BM27" s="22">
        <v>3974126</v>
      </c>
      <c r="BN27" s="22">
        <v>3708177</v>
      </c>
      <c r="BO27" s="15">
        <f t="shared" ref="BO27:BO28" si="164">(BN27/BM27-1)*100</f>
        <v>-6.6920122814425049</v>
      </c>
      <c r="BP27" s="23">
        <f>BS27-BM27</f>
        <v>338150</v>
      </c>
      <c r="BQ27" s="22">
        <f>BT27-BN27</f>
        <v>182438</v>
      </c>
      <c r="BR27" s="15">
        <f t="shared" ref="BR27:BR28" si="165">(BQ27/BP27-1)*100</f>
        <v>-46.048203460002959</v>
      </c>
      <c r="BS27" s="22">
        <v>4312276</v>
      </c>
      <c r="BT27" s="22">
        <v>3890615</v>
      </c>
      <c r="BU27" s="15">
        <f t="shared" ref="BU27:BU28" si="166">(BT27/BS27-1)*100</f>
        <v>-9.7781542739843186</v>
      </c>
      <c r="BV27" s="23">
        <f>BY27-BS27</f>
        <v>743957</v>
      </c>
      <c r="BW27" s="22">
        <f>BZ27-BT27</f>
        <v>496410</v>
      </c>
      <c r="BX27" s="15">
        <f t="shared" ref="BX27:BX28" si="167">(BW27/BV27-1)*100</f>
        <v>-33.274369351992114</v>
      </c>
      <c r="BY27" s="22">
        <v>5056233</v>
      </c>
      <c r="BZ27" s="22">
        <v>4387025</v>
      </c>
      <c r="CA27" s="15">
        <f t="shared" ref="CA27:CA28" si="168">(BZ27/BY27-1)*100</f>
        <v>-13.235307787437801</v>
      </c>
      <c r="CB27" s="6"/>
    </row>
    <row r="28" spans="1:80" s="1" customFormat="1" ht="19.5" customHeight="1">
      <c r="A28" s="152"/>
      <c r="B28" s="120"/>
      <c r="C28" s="33" t="s">
        <v>104</v>
      </c>
      <c r="D28" s="17">
        <v>5479037</v>
      </c>
      <c r="E28" s="17">
        <v>4656728</v>
      </c>
      <c r="F28" s="17">
        <v>5090799</v>
      </c>
      <c r="G28" s="17">
        <v>6131349</v>
      </c>
      <c r="H28" s="17">
        <v>4571046</v>
      </c>
      <c r="I28" s="17">
        <v>6561881</v>
      </c>
      <c r="J28" s="17">
        <v>4803865</v>
      </c>
      <c r="K28" s="17">
        <v>877440</v>
      </c>
      <c r="L28" s="17">
        <v>379241</v>
      </c>
      <c r="M28" s="18">
        <f t="shared" si="0"/>
        <v>-56.778697118891316</v>
      </c>
      <c r="N28" s="14">
        <f>Q28-K28</f>
        <v>653362</v>
      </c>
      <c r="O28" s="14">
        <f>R28-L28</f>
        <v>429344</v>
      </c>
      <c r="P28" s="18">
        <f t="shared" si="1"/>
        <v>-34.286964959700747</v>
      </c>
      <c r="Q28" s="17">
        <v>1530802</v>
      </c>
      <c r="R28" s="17">
        <v>808585</v>
      </c>
      <c r="S28" s="18">
        <f t="shared" si="2"/>
        <v>-47.178995062718755</v>
      </c>
      <c r="T28" s="14">
        <f>W28-Q28</f>
        <v>449699</v>
      </c>
      <c r="U28" s="14">
        <f>X28-R28</f>
        <v>613349</v>
      </c>
      <c r="V28" s="18">
        <f t="shared" si="149"/>
        <v>36.391008207712261</v>
      </c>
      <c r="W28" s="17">
        <v>1980501</v>
      </c>
      <c r="X28" s="17">
        <v>1421934</v>
      </c>
      <c r="Y28" s="18">
        <f t="shared" si="150"/>
        <v>-28.203318251290966</v>
      </c>
      <c r="Z28" s="14">
        <f>AC28-W28</f>
        <v>440108</v>
      </c>
      <c r="AA28" s="14">
        <f>AD28-X28</f>
        <v>633843</v>
      </c>
      <c r="AB28" s="18">
        <f t="shared" si="151"/>
        <v>44.019876939296722</v>
      </c>
      <c r="AC28" s="17">
        <v>2420609</v>
      </c>
      <c r="AD28" s="17">
        <v>2055777</v>
      </c>
      <c r="AE28" s="18">
        <f t="shared" si="152"/>
        <v>-15.071909589694165</v>
      </c>
      <c r="AF28" s="14">
        <f>AI28-AC28</f>
        <v>196626</v>
      </c>
      <c r="AG28" s="14">
        <f>AJ28-AD28</f>
        <v>412827</v>
      </c>
      <c r="AH28" s="18">
        <f t="shared" si="153"/>
        <v>109.95544841475694</v>
      </c>
      <c r="AI28" s="17">
        <v>2617235</v>
      </c>
      <c r="AJ28" s="17">
        <v>2468604</v>
      </c>
      <c r="AK28" s="18">
        <f t="shared" si="154"/>
        <v>-5.6789321554999823</v>
      </c>
      <c r="AL28" s="14">
        <f>AO28-AI28</f>
        <v>497242</v>
      </c>
      <c r="AM28" s="14">
        <f>AP28-AJ28</f>
        <v>431718</v>
      </c>
      <c r="AN28" s="18">
        <f t="shared" si="155"/>
        <v>-13.177487018393464</v>
      </c>
      <c r="AO28" s="17">
        <v>3114477</v>
      </c>
      <c r="AP28" s="17">
        <v>2900322</v>
      </c>
      <c r="AQ28" s="18">
        <f t="shared" si="156"/>
        <v>-6.8761143524257884</v>
      </c>
      <c r="AR28" s="14">
        <f>AU28-AO28</f>
        <v>383809</v>
      </c>
      <c r="AS28" s="14">
        <f>AV28-AP28</f>
        <v>232384</v>
      </c>
      <c r="AT28" s="18">
        <f t="shared" si="157"/>
        <v>-39.453217616053813</v>
      </c>
      <c r="AU28" s="17">
        <v>3498286</v>
      </c>
      <c r="AV28" s="17">
        <v>3132706</v>
      </c>
      <c r="AW28" s="18">
        <f t="shared" si="158"/>
        <v>-10.450260498998654</v>
      </c>
      <c r="AX28" s="14">
        <f>BA28-AU28</f>
        <v>170663</v>
      </c>
      <c r="AY28" s="14">
        <f>BB28-AV28</f>
        <v>327959</v>
      </c>
      <c r="AZ28" s="18">
        <f t="shared" si="159"/>
        <v>92.167605163392182</v>
      </c>
      <c r="BA28" s="17">
        <v>3668949</v>
      </c>
      <c r="BB28" s="17">
        <v>3460665</v>
      </c>
      <c r="BC28" s="18">
        <f t="shared" si="160"/>
        <v>-5.6769390907314365</v>
      </c>
      <c r="BD28" s="14">
        <f>BG28-BA28</f>
        <v>89644</v>
      </c>
      <c r="BE28" s="14">
        <f>BH28-BB28</f>
        <v>158048</v>
      </c>
      <c r="BF28" s="18">
        <f t="shared" si="161"/>
        <v>76.30627816697158</v>
      </c>
      <c r="BG28" s="17">
        <v>3758593</v>
      </c>
      <c r="BH28" s="17">
        <v>3618713</v>
      </c>
      <c r="BI28" s="18">
        <f t="shared" si="162"/>
        <v>-3.7216053986159237</v>
      </c>
      <c r="BJ28" s="14">
        <f>BM28-BG28</f>
        <v>256729</v>
      </c>
      <c r="BK28" s="14">
        <f>BN28-BH28</f>
        <v>385553</v>
      </c>
      <c r="BL28" s="18">
        <f t="shared" si="163"/>
        <v>50.178982506845735</v>
      </c>
      <c r="BM28" s="17">
        <v>4015322</v>
      </c>
      <c r="BN28" s="17">
        <v>4004266</v>
      </c>
      <c r="BO28" s="18">
        <f t="shared" si="164"/>
        <v>-0.27534528986716822</v>
      </c>
      <c r="BP28" s="14">
        <f>BS28-BM28</f>
        <v>322146</v>
      </c>
      <c r="BQ28" s="14">
        <f>BT28-BN28</f>
        <v>389842</v>
      </c>
      <c r="BR28" s="18">
        <f t="shared" si="165"/>
        <v>21.014074363797786</v>
      </c>
      <c r="BS28" s="17">
        <v>4337468</v>
      </c>
      <c r="BT28" s="17">
        <v>4394108</v>
      </c>
      <c r="BU28" s="18">
        <f t="shared" si="166"/>
        <v>1.3058309594445427</v>
      </c>
      <c r="BV28" s="14">
        <f>BY28-BS28</f>
        <v>466397</v>
      </c>
      <c r="BW28" s="14">
        <f>BZ28-BT28</f>
        <v>362183</v>
      </c>
      <c r="BX28" s="18">
        <f t="shared" si="167"/>
        <v>-22.344483347877453</v>
      </c>
      <c r="BY28" s="17">
        <v>4803865</v>
      </c>
      <c r="BZ28" s="17">
        <v>4756291</v>
      </c>
      <c r="CA28" s="18">
        <f t="shared" si="168"/>
        <v>-0.99032757997986609</v>
      </c>
      <c r="CB28" s="6"/>
    </row>
    <row r="29" spans="1:80" s="1" customFormat="1" ht="19.5" customHeight="1" thickBot="1">
      <c r="A29" s="153"/>
      <c r="B29" s="121"/>
      <c r="C29" s="34" t="s">
        <v>105</v>
      </c>
      <c r="D29" s="19">
        <f t="shared" ref="D29:L29" si="169">D28/D27</f>
        <v>2.8931261392366294</v>
      </c>
      <c r="E29" s="19">
        <f t="shared" si="169"/>
        <v>2.6949577560807922</v>
      </c>
      <c r="F29" s="19">
        <f t="shared" si="169"/>
        <v>4.3166105764950382</v>
      </c>
      <c r="G29" s="19">
        <f t="shared" si="169"/>
        <v>3.2801311121798764</v>
      </c>
      <c r="H29" s="20">
        <f>H28/H27</f>
        <v>2.2506192710351511</v>
      </c>
      <c r="I29" s="20">
        <f>I28/I27</f>
        <v>0.8710585610998528</v>
      </c>
      <c r="J29" s="20">
        <f>J28/J27</f>
        <v>0.9500877431874678</v>
      </c>
      <c r="K29" s="20">
        <f t="shared" si="169"/>
        <v>0.74264477485110114</v>
      </c>
      <c r="L29" s="20">
        <f t="shared" si="169"/>
        <v>0.7475247817491214</v>
      </c>
      <c r="M29" s="47"/>
      <c r="N29" s="20">
        <f>N28/N27</f>
        <v>0.73320098888014817</v>
      </c>
      <c r="O29" s="20">
        <f>O28/O27</f>
        <v>1.257001657093002</v>
      </c>
      <c r="P29" s="47"/>
      <c r="Q29" s="20">
        <f>Q28/Q27</f>
        <v>0.73858447488584478</v>
      </c>
      <c r="R29" s="20">
        <f>R28/R27</f>
        <v>0.95251922802809785</v>
      </c>
      <c r="S29" s="47"/>
      <c r="T29" s="20">
        <f>T28/T27</f>
        <v>1.3976007334545397</v>
      </c>
      <c r="U29" s="20">
        <f>U28/U27</f>
        <v>0.60090074026467699</v>
      </c>
      <c r="V29" s="47"/>
      <c r="W29" s="20">
        <f>W28/W27</f>
        <v>0.82714530394285624</v>
      </c>
      <c r="X29" s="20">
        <f>X28/X27</f>
        <v>0.76055235137651922</v>
      </c>
      <c r="Y29" s="47"/>
      <c r="Z29" s="20">
        <f>Z28/Z27</f>
        <v>1.336081748137534</v>
      </c>
      <c r="AA29" s="20">
        <f>AA28/AA27</f>
        <v>0.93210972207720777</v>
      </c>
      <c r="AB29" s="47"/>
      <c r="AC29" s="20">
        <f>AC28/AC27</f>
        <v>0.88869377626631785</v>
      </c>
      <c r="AD29" s="20">
        <f>AD28/AD27</f>
        <v>0.80630847939454409</v>
      </c>
      <c r="AE29" s="47"/>
      <c r="AF29" s="20">
        <f>AF28/AF27</f>
        <v>1.6741251596424009</v>
      </c>
      <c r="AG29" s="20">
        <f>AG28/AG27</f>
        <v>1.1264038199181445</v>
      </c>
      <c r="AH29" s="47"/>
      <c r="AI29" s="20">
        <f>AI28/AI27</f>
        <v>0.92116169282843052</v>
      </c>
      <c r="AJ29" s="20">
        <f>AJ28/AJ27</f>
        <v>0.84653834072444301</v>
      </c>
      <c r="AK29" s="47"/>
      <c r="AL29" s="20">
        <f>AL28/AL27</f>
        <v>1.1078058963625061</v>
      </c>
      <c r="AM29" s="20">
        <f>AM28/AM27</f>
        <v>1.1206119630787121</v>
      </c>
      <c r="AN29" s="47"/>
      <c r="AO29" s="20">
        <f>AO28/AO27</f>
        <v>0.94662479947332678</v>
      </c>
      <c r="AP29" s="20">
        <f>AP28/AP27</f>
        <v>0.87852126754727133</v>
      </c>
      <c r="AQ29" s="47"/>
      <c r="AR29" s="20">
        <f>AR28/AR27</f>
        <v>1.0406291347634644</v>
      </c>
      <c r="AS29" s="20">
        <f>AS28/AS27</f>
        <v>2.1599234122447464</v>
      </c>
      <c r="AT29" s="47"/>
      <c r="AU29" s="20">
        <f>AU28/AU27</f>
        <v>0.95610058733338621</v>
      </c>
      <c r="AV29" s="20">
        <f>AV28/AV27</f>
        <v>0.91896319020744466</v>
      </c>
      <c r="AW29" s="47"/>
      <c r="AX29" s="20">
        <f>AX28/AX27</f>
        <v>1.1668706455075655</v>
      </c>
      <c r="AY29" s="20">
        <f>AY28/AY27</f>
        <v>2.7249983382079233</v>
      </c>
      <c r="AZ29" s="47"/>
      <c r="BA29" s="20">
        <f>BA28/BA27</f>
        <v>0.96420183397995407</v>
      </c>
      <c r="BB29" s="20">
        <f>BB28/BB27</f>
        <v>0.98055030035624535</v>
      </c>
      <c r="BC29" s="47"/>
      <c r="BD29" s="20">
        <f>BD28/BD27</f>
        <v>4.1432797189868733</v>
      </c>
      <c r="BE29" s="20">
        <f>BE28/BE27</f>
        <v>3.0256528064936061</v>
      </c>
      <c r="BF29" s="47"/>
      <c r="BG29" s="20">
        <f>BG28/BG27</f>
        <v>0.98217572213672877</v>
      </c>
      <c r="BH29" s="20">
        <f>BH28/BH27</f>
        <v>1.0103776442847989</v>
      </c>
      <c r="BI29" s="47"/>
      <c r="BJ29" s="20">
        <f>BJ28/BJ27</f>
        <v>1.7426267453147166</v>
      </c>
      <c r="BK29" s="20">
        <f>BK28/BK27</f>
        <v>3.0446727525428012</v>
      </c>
      <c r="BL29" s="47"/>
      <c r="BM29" s="20">
        <f>BM28/BM27</f>
        <v>1.0103660528126184</v>
      </c>
      <c r="BN29" s="20">
        <f>BN28/BN27</f>
        <v>1.0798475908782132</v>
      </c>
      <c r="BO29" s="47"/>
      <c r="BP29" s="20">
        <f>BP28/BP27</f>
        <v>0.95267189117255657</v>
      </c>
      <c r="BQ29" s="20">
        <f>BQ28/BQ27</f>
        <v>2.1368464903145177</v>
      </c>
      <c r="BR29" s="47"/>
      <c r="BS29" s="20">
        <f>BS28/BS27</f>
        <v>1.0058419266299281</v>
      </c>
      <c r="BT29" s="20">
        <f>BT28/BT27</f>
        <v>1.1294121880473911</v>
      </c>
      <c r="BU29" s="47"/>
      <c r="BV29" s="20">
        <f>BV28/BV27</f>
        <v>0.62691392110027866</v>
      </c>
      <c r="BW29" s="20">
        <f>BW28/BW27</f>
        <v>0.72960456074615743</v>
      </c>
      <c r="BX29" s="47"/>
      <c r="BY29" s="20">
        <f>BY28/BY27</f>
        <v>0.9500877431874678</v>
      </c>
      <c r="BZ29" s="20">
        <f>BZ28/BZ27</f>
        <v>1.084172303554231</v>
      </c>
      <c r="CA29" s="47"/>
      <c r="CB29" s="6"/>
    </row>
    <row r="30" spans="1:80" s="1" customFormat="1" ht="19.5" customHeight="1">
      <c r="A30" s="164" t="s">
        <v>114</v>
      </c>
      <c r="B30" s="114" t="s">
        <v>31</v>
      </c>
      <c r="C30" s="32" t="s">
        <v>42</v>
      </c>
      <c r="D30" s="22">
        <v>81768519</v>
      </c>
      <c r="E30" s="22">
        <v>98039622</v>
      </c>
      <c r="F30" s="22">
        <v>90207258</v>
      </c>
      <c r="G30" s="22">
        <v>94098566</v>
      </c>
      <c r="H30" s="22">
        <v>103526740</v>
      </c>
      <c r="I30" s="22">
        <v>111624774</v>
      </c>
      <c r="J30" s="22">
        <v>112738428</v>
      </c>
      <c r="K30" s="22">
        <v>9510680</v>
      </c>
      <c r="L30" s="22">
        <v>9565261</v>
      </c>
      <c r="M30" s="15">
        <f t="shared" si="0"/>
        <v>0.57389166705219541</v>
      </c>
      <c r="N30" s="23">
        <f>Q30-K30</f>
        <v>6497975</v>
      </c>
      <c r="O30" s="22">
        <f>R30-L30</f>
        <v>8322764</v>
      </c>
      <c r="P30" s="15">
        <f t="shared" si="1"/>
        <v>28.082425678769152</v>
      </c>
      <c r="Q30" s="22">
        <v>16008655</v>
      </c>
      <c r="R30" s="22">
        <v>17888025</v>
      </c>
      <c r="S30" s="15">
        <f t="shared" si="2"/>
        <v>11.739712049513207</v>
      </c>
      <c r="T30" s="23">
        <f>W30-Q30</f>
        <v>9754881</v>
      </c>
      <c r="U30" s="22">
        <f>X30-R30</f>
        <v>11258987</v>
      </c>
      <c r="V30" s="15">
        <f t="shared" ref="V30:V31" si="170">(U30/T30-1)*100</f>
        <v>15.419009211901201</v>
      </c>
      <c r="W30" s="22">
        <v>25763536</v>
      </c>
      <c r="X30" s="22">
        <v>29147012</v>
      </c>
      <c r="Y30" s="15">
        <f t="shared" ref="Y30:Y31" si="171">(X30/W30-1)*100</f>
        <v>13.132809098875242</v>
      </c>
      <c r="Z30" s="23">
        <f>AC30-W30</f>
        <v>12222773</v>
      </c>
      <c r="AA30" s="22">
        <f>AD30-X30</f>
        <v>9649656</v>
      </c>
      <c r="AB30" s="15">
        <f t="shared" ref="AB30:AB31" si="172">(AA30/Z30-1)*100</f>
        <v>-21.051826782678528</v>
      </c>
      <c r="AC30" s="22">
        <v>37986309</v>
      </c>
      <c r="AD30" s="22">
        <v>38796668</v>
      </c>
      <c r="AE30" s="15">
        <f t="shared" ref="AE30:AE31" si="173">(AD30/AC30-1)*100</f>
        <v>2.1332922869658155</v>
      </c>
      <c r="AF30" s="23">
        <f>AI30-AC30</f>
        <v>11125291</v>
      </c>
      <c r="AG30" s="22">
        <f>AJ30-AD30</f>
        <v>9514894</v>
      </c>
      <c r="AH30" s="15">
        <f t="shared" ref="AH30:AH31" si="174">(AG30/AF30-1)*100</f>
        <v>-14.475100022102794</v>
      </c>
      <c r="AI30" s="22">
        <v>49111600</v>
      </c>
      <c r="AJ30" s="22">
        <v>48311562</v>
      </c>
      <c r="AK30" s="15">
        <f t="shared" ref="AK30:AK31" si="175">(AJ30/AI30-1)*100</f>
        <v>-1.6290204350906889</v>
      </c>
      <c r="AL30" s="23">
        <f>AO30-AI30</f>
        <v>8467125</v>
      </c>
      <c r="AM30" s="22">
        <f>AP30-AJ30</f>
        <v>6562898</v>
      </c>
      <c r="AN30" s="15">
        <f t="shared" ref="AN30:AN31" si="176">(AM30/AL30-1)*100</f>
        <v>-22.489652627072353</v>
      </c>
      <c r="AO30" s="22">
        <v>57578725</v>
      </c>
      <c r="AP30" s="22">
        <v>54874460</v>
      </c>
      <c r="AQ30" s="15">
        <f t="shared" ref="AQ30:AQ31" si="177">(AP30/AO30-1)*100</f>
        <v>-4.6966392534742667</v>
      </c>
      <c r="AR30" s="23">
        <f>AU30-AO30</f>
        <v>8509582</v>
      </c>
      <c r="AS30" s="22">
        <f>AV30-AP30</f>
        <v>10856938</v>
      </c>
      <c r="AT30" s="15">
        <f t="shared" ref="AT30:AT31" si="178">(AS30/AR30-1)*100</f>
        <v>27.584856694488646</v>
      </c>
      <c r="AU30" s="22">
        <v>66088307</v>
      </c>
      <c r="AV30" s="22">
        <v>65731398</v>
      </c>
      <c r="AW30" s="15">
        <f t="shared" ref="AW30:AW31" si="179">(AV30/AU30-1)*100</f>
        <v>-0.54004863522982838</v>
      </c>
      <c r="AX30" s="23">
        <f>BA30-AU30</f>
        <v>7289809</v>
      </c>
      <c r="AY30" s="22">
        <f>BB30-AV30</f>
        <v>8954707</v>
      </c>
      <c r="AZ30" s="15">
        <f t="shared" ref="AZ30:AZ31" si="180">(AY30/AX30-1)*100</f>
        <v>22.838705376231381</v>
      </c>
      <c r="BA30" s="22">
        <v>73378116</v>
      </c>
      <c r="BB30" s="22">
        <v>74686105</v>
      </c>
      <c r="BC30" s="15">
        <f t="shared" ref="BC30:BC31" si="181">(BB30/BA30-1)*100</f>
        <v>1.7825328194580603</v>
      </c>
      <c r="BD30" s="23">
        <f>BG30-BA30</f>
        <v>9558322</v>
      </c>
      <c r="BE30" s="22">
        <f>BH30-BB30</f>
        <v>10507497</v>
      </c>
      <c r="BF30" s="15">
        <f t="shared" ref="BF30:BF31" si="182">(BE30/BD30-1)*100</f>
        <v>9.9303517918730932</v>
      </c>
      <c r="BG30" s="22">
        <v>82936438</v>
      </c>
      <c r="BH30" s="22">
        <v>85193602</v>
      </c>
      <c r="BI30" s="15">
        <f t="shared" ref="BI30:BI31" si="183">(BH30/BG30-1)*100</f>
        <v>2.7215588882657293</v>
      </c>
      <c r="BJ30" s="23">
        <f>BM30-BG30</f>
        <v>8159618</v>
      </c>
      <c r="BK30" s="22">
        <f>BN30-BH30</f>
        <v>4575955</v>
      </c>
      <c r="BL30" s="15">
        <f t="shared" ref="BL30:BL31" si="184">(BK30/BJ30-1)*100</f>
        <v>-43.919494760661593</v>
      </c>
      <c r="BM30" s="22">
        <v>91096056</v>
      </c>
      <c r="BN30" s="22">
        <v>89769557</v>
      </c>
      <c r="BO30" s="15">
        <f t="shared" ref="BO30:BO31" si="185">(BN30/BM30-1)*100</f>
        <v>-1.456154150076483</v>
      </c>
      <c r="BP30" s="23">
        <f>BS30-BM30</f>
        <v>11500604</v>
      </c>
      <c r="BQ30" s="22">
        <f>BT30-BN30</f>
        <v>11065811</v>
      </c>
      <c r="BR30" s="15">
        <f t="shared" ref="BR30:BR31" si="186">(BQ30/BP30-1)*100</f>
        <v>-3.7806101314330931</v>
      </c>
      <c r="BS30" s="22">
        <v>102596660</v>
      </c>
      <c r="BT30" s="22">
        <v>100835368</v>
      </c>
      <c r="BU30" s="15">
        <f t="shared" ref="BU30:BU31" si="187">(BT30/BS30-1)*100</f>
        <v>-1.7167147546518602</v>
      </c>
      <c r="BV30" s="23">
        <f>BY30-BS30</f>
        <v>10141768</v>
      </c>
      <c r="BW30" s="22">
        <f>BZ30-BT30</f>
        <v>10464041</v>
      </c>
      <c r="BX30" s="15">
        <f t="shared" ref="BX30:BX31" si="188">(BW30/BV30-1)*100</f>
        <v>3.1776806568637683</v>
      </c>
      <c r="BY30" s="22">
        <v>112738428</v>
      </c>
      <c r="BZ30" s="22">
        <v>111299409</v>
      </c>
      <c r="CA30" s="15">
        <f t="shared" ref="CA30:CA31" si="189">(BZ30/BY30-1)*100</f>
        <v>-1.2764228005733735</v>
      </c>
      <c r="CB30" s="6"/>
    </row>
    <row r="31" spans="1:80" s="1" customFormat="1" ht="19.5" customHeight="1">
      <c r="A31" s="154"/>
      <c r="B31" s="115"/>
      <c r="C31" s="33" t="s">
        <v>104</v>
      </c>
      <c r="D31" s="17">
        <v>66869730</v>
      </c>
      <c r="E31" s="17">
        <v>94477795</v>
      </c>
      <c r="F31" s="17">
        <v>99144864</v>
      </c>
      <c r="G31" s="17">
        <v>88846646</v>
      </c>
      <c r="H31" s="17">
        <v>88097159</v>
      </c>
      <c r="I31" s="17">
        <v>92583433</v>
      </c>
      <c r="J31" s="17">
        <v>90430576</v>
      </c>
      <c r="K31" s="17">
        <v>6867244</v>
      </c>
      <c r="L31" s="17">
        <v>8072054</v>
      </c>
      <c r="M31" s="18">
        <f t="shared" si="0"/>
        <v>17.544301615029269</v>
      </c>
      <c r="N31" s="14">
        <f>Q31-K31</f>
        <v>5815296</v>
      </c>
      <c r="O31" s="14">
        <f>R31-L31</f>
        <v>7279168</v>
      </c>
      <c r="P31" s="18">
        <f t="shared" si="1"/>
        <v>25.172785701708044</v>
      </c>
      <c r="Q31" s="17">
        <v>12682540</v>
      </c>
      <c r="R31" s="17">
        <v>15351222</v>
      </c>
      <c r="S31" s="18">
        <f t="shared" si="2"/>
        <v>21.042172940120828</v>
      </c>
      <c r="T31" s="14">
        <f>W31-Q31</f>
        <v>7224069</v>
      </c>
      <c r="U31" s="14">
        <f>X31-R31</f>
        <v>8532626</v>
      </c>
      <c r="V31" s="18">
        <f t="shared" si="170"/>
        <v>18.113849687759064</v>
      </c>
      <c r="W31" s="17">
        <v>19906609</v>
      </c>
      <c r="X31" s="17">
        <v>23883848</v>
      </c>
      <c r="Y31" s="18">
        <f t="shared" si="171"/>
        <v>19.979490228596951</v>
      </c>
      <c r="Z31" s="14">
        <f>AC31-W31</f>
        <v>9082055</v>
      </c>
      <c r="AA31" s="14">
        <f>AD31-X31</f>
        <v>7846726</v>
      </c>
      <c r="AB31" s="18">
        <f t="shared" si="172"/>
        <v>-13.601866537914598</v>
      </c>
      <c r="AC31" s="17">
        <v>28988664</v>
      </c>
      <c r="AD31" s="17">
        <v>31730574</v>
      </c>
      <c r="AE31" s="18">
        <f t="shared" si="173"/>
        <v>9.4585593872142493</v>
      </c>
      <c r="AF31" s="14">
        <f>AI31-AC31</f>
        <v>8095720</v>
      </c>
      <c r="AG31" s="14">
        <f>AJ31-AD31</f>
        <v>7536311</v>
      </c>
      <c r="AH31" s="18">
        <f t="shared" si="174"/>
        <v>-6.9099351262148385</v>
      </c>
      <c r="AI31" s="17">
        <v>37084384</v>
      </c>
      <c r="AJ31" s="17">
        <v>39266885</v>
      </c>
      <c r="AK31" s="18">
        <f t="shared" si="175"/>
        <v>5.8852292113036109</v>
      </c>
      <c r="AL31" s="14">
        <f>AO31-AI31</f>
        <v>6568624</v>
      </c>
      <c r="AM31" s="14">
        <f>AP31-AJ31</f>
        <v>6849659</v>
      </c>
      <c r="AN31" s="18">
        <f t="shared" si="176"/>
        <v>4.2784455313624292</v>
      </c>
      <c r="AO31" s="17">
        <v>43653008</v>
      </c>
      <c r="AP31" s="17">
        <v>46116544</v>
      </c>
      <c r="AQ31" s="18">
        <f t="shared" si="177"/>
        <v>5.6434507331087014</v>
      </c>
      <c r="AR31" s="14">
        <f>AU31-AO31</f>
        <v>7331771</v>
      </c>
      <c r="AS31" s="14">
        <f>AV31-AP31</f>
        <v>8668506</v>
      </c>
      <c r="AT31" s="18">
        <f t="shared" si="178"/>
        <v>18.232088809102187</v>
      </c>
      <c r="AU31" s="17">
        <v>50984779</v>
      </c>
      <c r="AV31" s="17">
        <v>54785050</v>
      </c>
      <c r="AW31" s="18">
        <f t="shared" si="179"/>
        <v>7.4537363396240286</v>
      </c>
      <c r="AX31" s="14">
        <f>BA31-AU31</f>
        <v>6382082</v>
      </c>
      <c r="AY31" s="14">
        <f>BB31-AV31</f>
        <v>8054237</v>
      </c>
      <c r="AZ31" s="18">
        <f t="shared" si="180"/>
        <v>26.200775859664603</v>
      </c>
      <c r="BA31" s="17">
        <v>57366861</v>
      </c>
      <c r="BB31" s="17">
        <v>62839287</v>
      </c>
      <c r="BC31" s="18">
        <f t="shared" si="181"/>
        <v>9.5393506017350305</v>
      </c>
      <c r="BD31" s="14">
        <f>BG31-BA31</f>
        <v>7809285</v>
      </c>
      <c r="BE31" s="14">
        <f>BH31-BB31</f>
        <v>7933263</v>
      </c>
      <c r="BF31" s="18">
        <f t="shared" si="182"/>
        <v>1.5875717175131809</v>
      </c>
      <c r="BG31" s="17">
        <v>65176146</v>
      </c>
      <c r="BH31" s="17">
        <v>70772550</v>
      </c>
      <c r="BI31" s="18">
        <f t="shared" si="183"/>
        <v>8.5865831956372531</v>
      </c>
      <c r="BJ31" s="14">
        <f>BM31-BG31</f>
        <v>8387703</v>
      </c>
      <c r="BK31" s="14">
        <f>BN31-BH31</f>
        <v>6118549</v>
      </c>
      <c r="BL31" s="18">
        <f t="shared" si="184"/>
        <v>-27.053342255919166</v>
      </c>
      <c r="BM31" s="17">
        <v>73563849</v>
      </c>
      <c r="BN31" s="17">
        <v>76891099</v>
      </c>
      <c r="BO31" s="18">
        <f t="shared" si="185"/>
        <v>4.5229416965390179</v>
      </c>
      <c r="BP31" s="14">
        <f>BS31-BM31</f>
        <v>9487870</v>
      </c>
      <c r="BQ31" s="14">
        <f>BT31-BN31</f>
        <v>8431640</v>
      </c>
      <c r="BR31" s="18">
        <f t="shared" si="186"/>
        <v>-11.132424875130031</v>
      </c>
      <c r="BS31" s="17">
        <v>83051719</v>
      </c>
      <c r="BT31" s="17">
        <v>85322739</v>
      </c>
      <c r="BU31" s="18">
        <f t="shared" si="187"/>
        <v>2.734464773691192</v>
      </c>
      <c r="BV31" s="14">
        <f>BY31-BS31</f>
        <v>7378857</v>
      </c>
      <c r="BW31" s="14">
        <f>BZ31-BT31</f>
        <v>8702510</v>
      </c>
      <c r="BX31" s="18">
        <f t="shared" si="188"/>
        <v>17.938455779804375</v>
      </c>
      <c r="BY31" s="17">
        <v>90430576</v>
      </c>
      <c r="BZ31" s="17">
        <v>94025249</v>
      </c>
      <c r="CA31" s="18">
        <f t="shared" si="189"/>
        <v>3.9750636996937816</v>
      </c>
      <c r="CB31" s="6"/>
    </row>
    <row r="32" spans="1:80" s="1" customFormat="1" ht="19.5" customHeight="1" thickBot="1">
      <c r="A32" s="155"/>
      <c r="B32" s="116"/>
      <c r="C32" s="34" t="s">
        <v>105</v>
      </c>
      <c r="D32" s="19">
        <f t="shared" ref="D32:L32" si="190">D31/D30</f>
        <v>0.81779309222905217</v>
      </c>
      <c r="E32" s="19">
        <f t="shared" si="190"/>
        <v>0.96366951516806132</v>
      </c>
      <c r="F32" s="19">
        <f t="shared" si="190"/>
        <v>1.0990785686003226</v>
      </c>
      <c r="G32" s="19">
        <f t="shared" si="190"/>
        <v>0.94418703468871146</v>
      </c>
      <c r="H32" s="20">
        <f>H31/H30</f>
        <v>0.85096042819468676</v>
      </c>
      <c r="I32" s="20">
        <f>I31/I30</f>
        <v>0.82941653257009063</v>
      </c>
      <c r="J32" s="20">
        <f>J31/J30</f>
        <v>0.80212734561102805</v>
      </c>
      <c r="K32" s="20">
        <f t="shared" si="190"/>
        <v>0.72205604646565757</v>
      </c>
      <c r="L32" s="20">
        <f t="shared" si="190"/>
        <v>0.84389270716188503</v>
      </c>
      <c r="M32" s="47"/>
      <c r="N32" s="20">
        <f>N31/N30</f>
        <v>0.8949397312239582</v>
      </c>
      <c r="O32" s="20">
        <f>O31/O30</f>
        <v>0.87460944465083956</v>
      </c>
      <c r="P32" s="47"/>
      <c r="Q32" s="20">
        <f>Q31/Q30</f>
        <v>0.79223020297457847</v>
      </c>
      <c r="R32" s="20">
        <f>R31/R30</f>
        <v>0.8581842880921734</v>
      </c>
      <c r="S32" s="47"/>
      <c r="T32" s="20">
        <f>T31/T30</f>
        <v>0.74055941840807693</v>
      </c>
      <c r="U32" s="20">
        <f>U31/U30</f>
        <v>0.75785023999050716</v>
      </c>
      <c r="V32" s="47"/>
      <c r="W32" s="20">
        <f>W31/W30</f>
        <v>0.77266602689941322</v>
      </c>
      <c r="X32" s="20">
        <f>X31/X30</f>
        <v>0.81942697934182751</v>
      </c>
      <c r="Y32" s="47"/>
      <c r="Z32" s="20">
        <f>Z31/Z30</f>
        <v>0.74304374301968956</v>
      </c>
      <c r="AA32" s="20">
        <f>AA31/AA30</f>
        <v>0.81316121528062757</v>
      </c>
      <c r="AB32" s="47"/>
      <c r="AC32" s="20">
        <f>AC31/AC30</f>
        <v>0.76313452828491446</v>
      </c>
      <c r="AD32" s="20">
        <f>AD31/AD30</f>
        <v>0.81786853448342522</v>
      </c>
      <c r="AE32" s="47"/>
      <c r="AF32" s="20">
        <f>AF31/AF30</f>
        <v>0.72768613423235406</v>
      </c>
      <c r="AG32" s="20">
        <f>AG31/AG30</f>
        <v>0.79205412062393965</v>
      </c>
      <c r="AH32" s="47"/>
      <c r="AI32" s="20">
        <f>AI31/AI30</f>
        <v>0.75510437452658841</v>
      </c>
      <c r="AJ32" s="20">
        <f>AJ31/AJ30</f>
        <v>0.81278442208099166</v>
      </c>
      <c r="AK32" s="47"/>
      <c r="AL32" s="20">
        <f>AL31/AL30</f>
        <v>0.77577973633317099</v>
      </c>
      <c r="AM32" s="20">
        <f>AM31/AM30</f>
        <v>1.0436942643326166</v>
      </c>
      <c r="AN32" s="47"/>
      <c r="AO32" s="20">
        <f>AO31/AO30</f>
        <v>0.75814474877656635</v>
      </c>
      <c r="AP32" s="20">
        <f>AP31/AP30</f>
        <v>0.84040087137076158</v>
      </c>
      <c r="AQ32" s="47"/>
      <c r="AR32" s="20">
        <f>AR31/AR30</f>
        <v>0.86159002874641788</v>
      </c>
      <c r="AS32" s="20">
        <f>AS31/AS30</f>
        <v>0.79843009143093568</v>
      </c>
      <c r="AT32" s="47"/>
      <c r="AU32" s="20">
        <f>AU31/AU30</f>
        <v>0.77146444377823142</v>
      </c>
      <c r="AV32" s="20">
        <f>AV31/AV30</f>
        <v>0.83346850465587241</v>
      </c>
      <c r="AW32" s="47"/>
      <c r="AX32" s="20">
        <f>AX31/AX30</f>
        <v>0.87548000228812584</v>
      </c>
      <c r="AY32" s="20">
        <f>AY31/AY30</f>
        <v>0.89944171260991568</v>
      </c>
      <c r="AZ32" s="47"/>
      <c r="BA32" s="20">
        <f>BA31/BA30</f>
        <v>0.78179795458362544</v>
      </c>
      <c r="BB32" s="20">
        <f>BB31/BB30</f>
        <v>0.84137855361449099</v>
      </c>
      <c r="BC32" s="47"/>
      <c r="BD32" s="20">
        <f>BD31/BD30</f>
        <v>0.81701422069689633</v>
      </c>
      <c r="BE32" s="20">
        <f>BE31/BE30</f>
        <v>0.75500978015982301</v>
      </c>
      <c r="BF32" s="47"/>
      <c r="BG32" s="20">
        <f>BG31/BG30</f>
        <v>0.78585658573858697</v>
      </c>
      <c r="BH32" s="20">
        <f>BH31/BH30</f>
        <v>0.83072611485543246</v>
      </c>
      <c r="BI32" s="47"/>
      <c r="BJ32" s="20">
        <f>BJ31/BJ30</f>
        <v>1.0279529017167226</v>
      </c>
      <c r="BK32" s="20">
        <f>BK31/BK30</f>
        <v>1.3371086472659806</v>
      </c>
      <c r="BL32" s="47"/>
      <c r="BM32" s="20">
        <f>BM31/BM30</f>
        <v>0.80754153615607682</v>
      </c>
      <c r="BN32" s="20">
        <f>BN31/BN30</f>
        <v>0.8565386927329941</v>
      </c>
      <c r="BO32" s="47"/>
      <c r="BP32" s="20">
        <f>BP31/BP30</f>
        <v>0.82498884406419004</v>
      </c>
      <c r="BQ32" s="20">
        <f>BQ31/BQ30</f>
        <v>0.76195409446266527</v>
      </c>
      <c r="BR32" s="47"/>
      <c r="BS32" s="20">
        <f>BS31/BS30</f>
        <v>0.80949729747537591</v>
      </c>
      <c r="BT32" s="20">
        <f>BT31/BT30</f>
        <v>0.84615884974010314</v>
      </c>
      <c r="BU32" s="47"/>
      <c r="BV32" s="20">
        <f>BV31/BV30</f>
        <v>0.72757107044846614</v>
      </c>
      <c r="BW32" s="20">
        <f>BW31/BW30</f>
        <v>0.83165862977792226</v>
      </c>
      <c r="BX32" s="47"/>
      <c r="BY32" s="20">
        <f>BY31/BY30</f>
        <v>0.80212734561102805</v>
      </c>
      <c r="BZ32" s="20">
        <f>BZ31/BZ30</f>
        <v>0.84479558197833737</v>
      </c>
      <c r="CA32" s="47"/>
      <c r="CB32" s="6"/>
    </row>
    <row r="33" spans="1:80" s="1" customFormat="1" ht="19.5" customHeight="1">
      <c r="A33" s="164" t="s">
        <v>115</v>
      </c>
      <c r="B33" s="114" t="s">
        <v>74</v>
      </c>
      <c r="C33" s="32" t="s">
        <v>42</v>
      </c>
      <c r="D33" s="22">
        <f>415667+151681</f>
        <v>567348</v>
      </c>
      <c r="E33" s="22">
        <f>497193+331800</f>
        <v>828993</v>
      </c>
      <c r="F33" s="22">
        <f>449981+437668</f>
        <v>887649</v>
      </c>
      <c r="G33" s="22">
        <f>537701+344437</f>
        <v>882138</v>
      </c>
      <c r="H33" s="22">
        <f>609653+277586</f>
        <v>887239</v>
      </c>
      <c r="I33" s="22">
        <v>1076375</v>
      </c>
      <c r="J33" s="22">
        <v>985568</v>
      </c>
      <c r="K33" s="22">
        <v>54330</v>
      </c>
      <c r="L33" s="22">
        <v>51116</v>
      </c>
      <c r="M33" s="15">
        <f t="shared" si="0"/>
        <v>-5.9157003497147027</v>
      </c>
      <c r="N33" s="23">
        <f>Q33-K33</f>
        <v>67967</v>
      </c>
      <c r="O33" s="22">
        <f>R33-L33</f>
        <v>118676</v>
      </c>
      <c r="P33" s="15">
        <f t="shared" si="1"/>
        <v>74.608265776038365</v>
      </c>
      <c r="Q33" s="22">
        <v>122297</v>
      </c>
      <c r="R33" s="22">
        <v>169792</v>
      </c>
      <c r="S33" s="15">
        <f t="shared" si="2"/>
        <v>38.835785015168</v>
      </c>
      <c r="T33" s="23">
        <f>W33-Q33</f>
        <v>56218</v>
      </c>
      <c r="U33" s="22">
        <f>X33-R33</f>
        <v>73391</v>
      </c>
      <c r="V33" s="15">
        <f t="shared" ref="V33:V34" si="191">(U33/T33-1)*100</f>
        <v>30.54715571525135</v>
      </c>
      <c r="W33" s="22">
        <v>178515</v>
      </c>
      <c r="X33" s="22">
        <v>243183</v>
      </c>
      <c r="Y33" s="15">
        <f t="shared" ref="Y33:Y34" si="192">(X33/W33-1)*100</f>
        <v>36.225527266616254</v>
      </c>
      <c r="Z33" s="23">
        <f>AC33-W33</f>
        <v>78248</v>
      </c>
      <c r="AA33" s="22">
        <f>AD33-X33</f>
        <v>143699</v>
      </c>
      <c r="AB33" s="15">
        <f t="shared" ref="AB33:AB34" si="193">(AA33/Z33-1)*100</f>
        <v>83.645588385645638</v>
      </c>
      <c r="AC33" s="22">
        <v>256763</v>
      </c>
      <c r="AD33" s="22">
        <v>386882</v>
      </c>
      <c r="AE33" s="15">
        <f t="shared" ref="AE33:AE34" si="194">(AD33/AC33-1)*100</f>
        <v>50.676694071965201</v>
      </c>
      <c r="AF33" s="23">
        <f>AI33-AC33</f>
        <v>127955</v>
      </c>
      <c r="AG33" s="22">
        <f>AJ33-AD33</f>
        <v>84413</v>
      </c>
      <c r="AH33" s="15">
        <f t="shared" ref="AH33:AH34" si="195">(AG33/AF33-1)*100</f>
        <v>-34.029150873353906</v>
      </c>
      <c r="AI33" s="22">
        <v>384718</v>
      </c>
      <c r="AJ33" s="22">
        <v>471295</v>
      </c>
      <c r="AK33" s="15">
        <f t="shared" ref="AK33:AK34" si="196">(AJ33/AI33-1)*100</f>
        <v>22.50401592855027</v>
      </c>
      <c r="AL33" s="23">
        <f>AO33-AI33</f>
        <v>68755</v>
      </c>
      <c r="AM33" s="22">
        <f>AP33-AJ33</f>
        <v>70810</v>
      </c>
      <c r="AN33" s="15">
        <f t="shared" ref="AN33:AN34" si="197">(AM33/AL33-1)*100</f>
        <v>2.9888735364700825</v>
      </c>
      <c r="AO33" s="22">
        <v>453473</v>
      </c>
      <c r="AP33" s="22">
        <v>542105</v>
      </c>
      <c r="AQ33" s="15">
        <f t="shared" ref="AQ33:AQ34" si="198">(AP33/AO33-1)*100</f>
        <v>19.545154838325551</v>
      </c>
      <c r="AR33" s="23">
        <f>AU33-AO33</f>
        <v>74884</v>
      </c>
      <c r="AS33" s="22">
        <f>AV33-AP33</f>
        <v>59851</v>
      </c>
      <c r="AT33" s="15">
        <f t="shared" ref="AT33:AT34" si="199">(AS33/AR33-1)*100</f>
        <v>-20.075049409753753</v>
      </c>
      <c r="AU33" s="22">
        <v>528357</v>
      </c>
      <c r="AV33" s="22">
        <v>601956</v>
      </c>
      <c r="AW33" s="15">
        <f t="shared" ref="AW33:AW34" si="200">(AV33/AU33-1)*100</f>
        <v>13.92978611052753</v>
      </c>
      <c r="AX33" s="23">
        <f>BA33-AU33</f>
        <v>99325</v>
      </c>
      <c r="AY33" s="22">
        <f>BB33-AV33</f>
        <v>128056</v>
      </c>
      <c r="AZ33" s="15">
        <f t="shared" ref="AZ33:AZ34" si="201">(AY33/AX33-1)*100</f>
        <v>28.926252202365976</v>
      </c>
      <c r="BA33" s="22">
        <v>627682</v>
      </c>
      <c r="BB33" s="22">
        <v>730012</v>
      </c>
      <c r="BC33" s="15">
        <f t="shared" ref="BC33:BC34" si="202">(BB33/BA33-1)*100</f>
        <v>16.302841247638145</v>
      </c>
      <c r="BD33" s="23">
        <f>BG33-BA33</f>
        <v>40281</v>
      </c>
      <c r="BE33" s="22">
        <f>BH33-BB33</f>
        <v>32969</v>
      </c>
      <c r="BF33" s="15">
        <f t="shared" ref="BF33:BF34" si="203">(BE33/BD33-1)*100</f>
        <v>-18.152478836175867</v>
      </c>
      <c r="BG33" s="22">
        <v>667963</v>
      </c>
      <c r="BH33" s="22">
        <v>762981</v>
      </c>
      <c r="BI33" s="15">
        <f t="shared" ref="BI33:BI34" si="204">(BH33/BG33-1)*100</f>
        <v>14.22503941086557</v>
      </c>
      <c r="BJ33" s="23">
        <f>BM33-BG33</f>
        <v>105863</v>
      </c>
      <c r="BK33" s="22">
        <f>BN33-BH33</f>
        <v>91954</v>
      </c>
      <c r="BL33" s="15">
        <f t="shared" ref="BL33:BL34" si="205">(BK33/BJ33-1)*100</f>
        <v>-13.138679236371543</v>
      </c>
      <c r="BM33" s="22">
        <v>773826</v>
      </c>
      <c r="BN33" s="22">
        <v>854935</v>
      </c>
      <c r="BO33" s="15">
        <f t="shared" ref="BO33:BO34" si="206">(BN33/BM33-1)*100</f>
        <v>10.481555285038247</v>
      </c>
      <c r="BP33" s="23">
        <f>BS33-BM33</f>
        <v>58185</v>
      </c>
      <c r="BQ33" s="22">
        <f>BT33-BN33</f>
        <v>83139</v>
      </c>
      <c r="BR33" s="15">
        <f t="shared" ref="BR33:BR34" si="207">(BQ33/BP33-1)*100</f>
        <v>42.887342098478996</v>
      </c>
      <c r="BS33" s="22">
        <v>832011</v>
      </c>
      <c r="BT33" s="22">
        <v>938074</v>
      </c>
      <c r="BU33" s="15">
        <f t="shared" ref="BU33:BU34" si="208">(BT33/BS33-1)*100</f>
        <v>12.747788190300358</v>
      </c>
      <c r="BV33" s="23">
        <f>BY33-BS33</f>
        <v>153557</v>
      </c>
      <c r="BW33" s="22">
        <f>BZ33-BT33</f>
        <v>78231</v>
      </c>
      <c r="BX33" s="15">
        <f t="shared" ref="BX33:BX34" si="209">(BW33/BV33-1)*100</f>
        <v>-49.054097175641623</v>
      </c>
      <c r="BY33" s="22">
        <v>985568</v>
      </c>
      <c r="BZ33" s="22">
        <v>1016305</v>
      </c>
      <c r="CA33" s="15">
        <f t="shared" ref="CA33:CA34" si="210">(BZ33/BY33-1)*100</f>
        <v>3.1187092113380332</v>
      </c>
      <c r="CB33" s="6"/>
    </row>
    <row r="34" spans="1:80" s="1" customFormat="1" ht="19.5" customHeight="1">
      <c r="A34" s="154"/>
      <c r="B34" s="115"/>
      <c r="C34" s="33" t="s">
        <v>104</v>
      </c>
      <c r="D34" s="17">
        <f>2017378+697996</f>
        <v>2715374</v>
      </c>
      <c r="E34" s="17">
        <f>2729377+1637650</f>
        <v>4367027</v>
      </c>
      <c r="F34" s="17">
        <f>2979660+2853107</f>
        <v>5832767</v>
      </c>
      <c r="G34" s="17">
        <f>3397310+2210827</f>
        <v>5608137</v>
      </c>
      <c r="H34" s="17">
        <f>3389857+1757313</f>
        <v>5147170</v>
      </c>
      <c r="I34" s="17">
        <v>5704792</v>
      </c>
      <c r="J34" s="17">
        <v>4584879</v>
      </c>
      <c r="K34" s="17">
        <v>321358</v>
      </c>
      <c r="L34" s="17">
        <v>221449</v>
      </c>
      <c r="M34" s="18">
        <f t="shared" si="0"/>
        <v>-31.089625900086503</v>
      </c>
      <c r="N34" s="14">
        <f>Q34-K34</f>
        <v>359742</v>
      </c>
      <c r="O34" s="14">
        <f>R34-L34</f>
        <v>479742</v>
      </c>
      <c r="P34" s="18">
        <f t="shared" si="1"/>
        <v>33.357239354870984</v>
      </c>
      <c r="Q34" s="17">
        <v>681100</v>
      </c>
      <c r="R34" s="17">
        <v>701191</v>
      </c>
      <c r="S34" s="18">
        <f t="shared" si="2"/>
        <v>2.9497871090882422</v>
      </c>
      <c r="T34" s="14">
        <f>W34-Q34</f>
        <v>288370</v>
      </c>
      <c r="U34" s="14">
        <f>X34-R34</f>
        <v>256832</v>
      </c>
      <c r="V34" s="18">
        <f t="shared" si="191"/>
        <v>-10.936643894996012</v>
      </c>
      <c r="W34" s="17">
        <v>969470</v>
      </c>
      <c r="X34" s="17">
        <v>958023</v>
      </c>
      <c r="Y34" s="18">
        <f t="shared" si="192"/>
        <v>-1.1807482438858319</v>
      </c>
      <c r="Z34" s="14">
        <f>AC34-W34</f>
        <v>409192</v>
      </c>
      <c r="AA34" s="14">
        <f>AD34-X34</f>
        <v>481048</v>
      </c>
      <c r="AB34" s="18">
        <f t="shared" si="193"/>
        <v>17.5604606150658</v>
      </c>
      <c r="AC34" s="17">
        <v>1378662</v>
      </c>
      <c r="AD34" s="17">
        <v>1439071</v>
      </c>
      <c r="AE34" s="18">
        <f t="shared" si="194"/>
        <v>4.3817121237837764</v>
      </c>
      <c r="AF34" s="14">
        <f>AI34-AC34</f>
        <v>572314</v>
      </c>
      <c r="AG34" s="14">
        <f>AJ34-AD34</f>
        <v>501847</v>
      </c>
      <c r="AH34" s="18">
        <f t="shared" si="195"/>
        <v>-12.312646554164319</v>
      </c>
      <c r="AI34" s="17">
        <v>1950976</v>
      </c>
      <c r="AJ34" s="17">
        <v>1940918</v>
      </c>
      <c r="AK34" s="18">
        <f t="shared" si="196"/>
        <v>-0.51553683899751013</v>
      </c>
      <c r="AL34" s="14">
        <f>AO34-AI34</f>
        <v>352349</v>
      </c>
      <c r="AM34" s="14">
        <f>AP34-AJ34</f>
        <v>294705</v>
      </c>
      <c r="AN34" s="18">
        <f t="shared" si="197"/>
        <v>-16.359915878858743</v>
      </c>
      <c r="AO34" s="17">
        <v>2303325</v>
      </c>
      <c r="AP34" s="17">
        <v>2235623</v>
      </c>
      <c r="AQ34" s="18">
        <f t="shared" si="198"/>
        <v>-2.9393159888422171</v>
      </c>
      <c r="AR34" s="14">
        <f>AU34-AO34</f>
        <v>328458</v>
      </c>
      <c r="AS34" s="14">
        <f>AV34-AP34</f>
        <v>291398</v>
      </c>
      <c r="AT34" s="18">
        <f t="shared" si="199"/>
        <v>-11.283025531422586</v>
      </c>
      <c r="AU34" s="17">
        <v>2631783</v>
      </c>
      <c r="AV34" s="17">
        <v>2527021</v>
      </c>
      <c r="AW34" s="18">
        <f t="shared" si="200"/>
        <v>-3.9806473406052145</v>
      </c>
      <c r="AX34" s="14">
        <f>BA34-AU34</f>
        <v>496834</v>
      </c>
      <c r="AY34" s="14">
        <f>BB34-AV34</f>
        <v>663827</v>
      </c>
      <c r="AZ34" s="18">
        <f t="shared" si="201"/>
        <v>33.611427559305525</v>
      </c>
      <c r="BA34" s="17">
        <v>3128617</v>
      </c>
      <c r="BB34" s="17">
        <v>3190848</v>
      </c>
      <c r="BC34" s="18">
        <f t="shared" si="202"/>
        <v>1.989089747962125</v>
      </c>
      <c r="BD34" s="14">
        <f>BG34-BA34</f>
        <v>195135</v>
      </c>
      <c r="BE34" s="14">
        <f>BH34-BB34</f>
        <v>255847</v>
      </c>
      <c r="BF34" s="18">
        <f t="shared" si="203"/>
        <v>31.112819330207287</v>
      </c>
      <c r="BG34" s="17">
        <v>3323752</v>
      </c>
      <c r="BH34" s="17">
        <v>3446695</v>
      </c>
      <c r="BI34" s="18">
        <f t="shared" si="204"/>
        <v>3.6989221819197171</v>
      </c>
      <c r="BJ34" s="14">
        <f>BM34-BG34</f>
        <v>379993</v>
      </c>
      <c r="BK34" s="14">
        <f>BN34-BH34</f>
        <v>434941</v>
      </c>
      <c r="BL34" s="18">
        <f t="shared" si="205"/>
        <v>14.460266373327935</v>
      </c>
      <c r="BM34" s="17">
        <v>3703745</v>
      </c>
      <c r="BN34" s="17">
        <v>3881636</v>
      </c>
      <c r="BO34" s="18">
        <f t="shared" si="206"/>
        <v>4.8030034465115667</v>
      </c>
      <c r="BP34" s="14">
        <f>BS34-BM34</f>
        <v>227852</v>
      </c>
      <c r="BQ34" s="14">
        <f>BT34-BN34</f>
        <v>445052</v>
      </c>
      <c r="BR34" s="18">
        <f t="shared" si="207"/>
        <v>95.325035549391714</v>
      </c>
      <c r="BS34" s="17">
        <v>3931597</v>
      </c>
      <c r="BT34" s="17">
        <v>4326688</v>
      </c>
      <c r="BU34" s="18">
        <f t="shared" si="208"/>
        <v>10.049122532141519</v>
      </c>
      <c r="BV34" s="14">
        <f>BY34-BS34</f>
        <v>653282</v>
      </c>
      <c r="BW34" s="14">
        <f>BZ34-BT34</f>
        <v>330133</v>
      </c>
      <c r="BX34" s="18">
        <f t="shared" si="209"/>
        <v>-49.465468205154892</v>
      </c>
      <c r="BY34" s="17">
        <v>4584879</v>
      </c>
      <c r="BZ34" s="17">
        <v>4656821</v>
      </c>
      <c r="CA34" s="18">
        <f t="shared" si="210"/>
        <v>1.5691144739043317</v>
      </c>
      <c r="CB34" s="6"/>
    </row>
    <row r="35" spans="1:80" s="1" customFormat="1" ht="19.5" customHeight="1" thickBot="1">
      <c r="A35" s="155"/>
      <c r="B35" s="116"/>
      <c r="C35" s="34" t="s">
        <v>105</v>
      </c>
      <c r="D35" s="19">
        <f t="shared" ref="D35:L35" si="211">D34/D33</f>
        <v>4.7860819109259216</v>
      </c>
      <c r="E35" s="19">
        <f t="shared" si="211"/>
        <v>5.2678695718781698</v>
      </c>
      <c r="F35" s="19">
        <f t="shared" si="211"/>
        <v>6.5710286385722281</v>
      </c>
      <c r="G35" s="19">
        <f t="shared" si="211"/>
        <v>6.357437271719391</v>
      </c>
      <c r="H35" s="20">
        <f>H34/H33</f>
        <v>5.8013342515376349</v>
      </c>
      <c r="I35" s="20">
        <f>I34/I33</f>
        <v>5.3000041806991058</v>
      </c>
      <c r="J35" s="20">
        <f>J34/J33</f>
        <v>4.6520169080164937</v>
      </c>
      <c r="K35" s="20">
        <f t="shared" si="211"/>
        <v>5.9149272961531381</v>
      </c>
      <c r="L35" s="20">
        <f t="shared" si="211"/>
        <v>4.3322834337585103</v>
      </c>
      <c r="M35" s="47"/>
      <c r="N35" s="20">
        <f>N34/N33</f>
        <v>5.2928921388320802</v>
      </c>
      <c r="O35" s="20">
        <f>O34/O33</f>
        <v>4.0424517172806631</v>
      </c>
      <c r="P35" s="47"/>
      <c r="Q35" s="20">
        <f>Q34/Q33</f>
        <v>5.5692290080705167</v>
      </c>
      <c r="R35" s="20">
        <f>R34/R33</f>
        <v>4.1297057576328688</v>
      </c>
      <c r="S35" s="47"/>
      <c r="T35" s="20">
        <f>T34/T33</f>
        <v>5.1294958909957664</v>
      </c>
      <c r="U35" s="20">
        <f>U34/U33</f>
        <v>3.499502663814364</v>
      </c>
      <c r="V35" s="47"/>
      <c r="W35" s="20">
        <f>W34/W33</f>
        <v>5.4307481164047839</v>
      </c>
      <c r="X35" s="20">
        <f>X34/X33</f>
        <v>3.9395146864706825</v>
      </c>
      <c r="Y35" s="47"/>
      <c r="Z35" s="20">
        <f>Z34/Z33</f>
        <v>5.2294243942337184</v>
      </c>
      <c r="AA35" s="20">
        <f>AA34/AA33</f>
        <v>3.347608542856944</v>
      </c>
      <c r="AB35" s="47"/>
      <c r="AC35" s="20">
        <f>AC34/AC33</f>
        <v>5.3693951231291113</v>
      </c>
      <c r="AD35" s="20">
        <f>AD34/AD33</f>
        <v>3.7196638768410004</v>
      </c>
      <c r="AE35" s="47"/>
      <c r="AF35" s="20">
        <f>AF34/AF33</f>
        <v>4.4727755851666604</v>
      </c>
      <c r="AG35" s="20">
        <f>AG34/AG33</f>
        <v>5.9451387819411705</v>
      </c>
      <c r="AH35" s="47"/>
      <c r="AI35" s="20">
        <f>AI34/AI33</f>
        <v>5.0711846079465994</v>
      </c>
      <c r="AJ35" s="20">
        <f>AJ34/AJ33</f>
        <v>4.1182656298072331</v>
      </c>
      <c r="AK35" s="47"/>
      <c r="AL35" s="20">
        <f>AL34/AL33</f>
        <v>5.1247036579157879</v>
      </c>
      <c r="AM35" s="20">
        <f>AM34/AM33</f>
        <v>4.1619121592995336</v>
      </c>
      <c r="AN35" s="47"/>
      <c r="AO35" s="20">
        <f>AO34/AO33</f>
        <v>5.0792990982925117</v>
      </c>
      <c r="AP35" s="20">
        <f>AP34/AP33</f>
        <v>4.1239667592071649</v>
      </c>
      <c r="AQ35" s="47"/>
      <c r="AR35" s="20">
        <f>AR34/AR33</f>
        <v>4.3862240264943111</v>
      </c>
      <c r="AS35" s="20">
        <f>AS34/AS33</f>
        <v>4.8687239979281882</v>
      </c>
      <c r="AT35" s="47"/>
      <c r="AU35" s="20">
        <f>AU34/AU33</f>
        <v>4.9810696177016673</v>
      </c>
      <c r="AV35" s="20">
        <f>AV34/AV33</f>
        <v>4.1980161340695998</v>
      </c>
      <c r="AW35" s="47"/>
      <c r="AX35" s="20">
        <f>AX34/AX33</f>
        <v>5.0021042033727658</v>
      </c>
      <c r="AY35" s="20">
        <f>AY34/AY33</f>
        <v>5.1838804897857189</v>
      </c>
      <c r="AZ35" s="47"/>
      <c r="BA35" s="20">
        <f>BA34/BA33</f>
        <v>4.9843981506559052</v>
      </c>
      <c r="BB35" s="20">
        <f>BB34/BB33</f>
        <v>4.3709528062552394</v>
      </c>
      <c r="BC35" s="47"/>
      <c r="BD35" s="20">
        <f>BD34/BD33</f>
        <v>4.8443434870037985</v>
      </c>
      <c r="BE35" s="20">
        <f>BE34/BE33</f>
        <v>7.7602293063180561</v>
      </c>
      <c r="BF35" s="47"/>
      <c r="BG35" s="20">
        <f>BG34/BG33</f>
        <v>4.9759522608288185</v>
      </c>
      <c r="BH35" s="20">
        <f>BH34/BH33</f>
        <v>4.5174060690895317</v>
      </c>
      <c r="BI35" s="47"/>
      <c r="BJ35" s="20">
        <f>BJ34/BJ33</f>
        <v>3.5894788547462286</v>
      </c>
      <c r="BK35" s="20">
        <f>BK34/BK33</f>
        <v>4.729984557496139</v>
      </c>
      <c r="BL35" s="47"/>
      <c r="BM35" s="20">
        <f>BM34/BM33</f>
        <v>4.7862762429796879</v>
      </c>
      <c r="BN35" s="20">
        <f>BN34/BN33</f>
        <v>4.5402703129477677</v>
      </c>
      <c r="BO35" s="47"/>
      <c r="BP35" s="20">
        <f>BP34/BP33</f>
        <v>3.9159920941823496</v>
      </c>
      <c r="BQ35" s="20">
        <f>BQ34/BQ33</f>
        <v>5.3531074465653905</v>
      </c>
      <c r="BR35" s="47"/>
      <c r="BS35" s="20">
        <f>BS34/BS33</f>
        <v>4.7254146880269614</v>
      </c>
      <c r="BT35" s="20">
        <f>BT34/BT33</f>
        <v>4.6123099030566888</v>
      </c>
      <c r="BU35" s="47"/>
      <c r="BV35" s="20">
        <f>BV34/BV33</f>
        <v>4.2543290113768828</v>
      </c>
      <c r="BW35" s="20">
        <f>BW34/BW33</f>
        <v>4.2199767355651856</v>
      </c>
      <c r="BX35" s="47"/>
      <c r="BY35" s="20">
        <f>BY34/BY33</f>
        <v>4.6520169080164937</v>
      </c>
      <c r="BZ35" s="20">
        <f>BZ34/BZ33</f>
        <v>4.5821097013199781</v>
      </c>
      <c r="CA35" s="47"/>
      <c r="CB35" s="6"/>
    </row>
    <row r="36" spans="1:80" s="1" customFormat="1" ht="19.5" customHeight="1">
      <c r="A36" s="164" t="s">
        <v>116</v>
      </c>
      <c r="B36" s="133">
        <v>2820</v>
      </c>
      <c r="C36" s="32" t="s">
        <v>42</v>
      </c>
      <c r="D36" s="22">
        <v>6238717</v>
      </c>
      <c r="E36" s="22">
        <v>6662051</v>
      </c>
      <c r="F36" s="22">
        <v>5728100</v>
      </c>
      <c r="G36" s="22">
        <v>6133489</v>
      </c>
      <c r="H36" s="22">
        <v>5964009</v>
      </c>
      <c r="I36" s="22">
        <v>5609992</v>
      </c>
      <c r="J36" s="22">
        <v>6440800</v>
      </c>
      <c r="K36" s="22">
        <v>436478</v>
      </c>
      <c r="L36" s="22">
        <v>695869</v>
      </c>
      <c r="M36" s="15">
        <f t="shared" si="0"/>
        <v>59.428195693711942</v>
      </c>
      <c r="N36" s="23">
        <f>Q36-K36</f>
        <v>495249</v>
      </c>
      <c r="O36" s="22">
        <f>R36-L36</f>
        <v>714531</v>
      </c>
      <c r="P36" s="15">
        <f t="shared" si="1"/>
        <v>44.277121205696531</v>
      </c>
      <c r="Q36" s="22">
        <v>931727</v>
      </c>
      <c r="R36" s="22">
        <v>1410400</v>
      </c>
      <c r="S36" s="15">
        <f t="shared" si="2"/>
        <v>51.374812579221164</v>
      </c>
      <c r="T36" s="23">
        <f>W36-Q36</f>
        <v>547128</v>
      </c>
      <c r="U36" s="22">
        <f>X36-R36</f>
        <v>684103</v>
      </c>
      <c r="V36" s="15">
        <f t="shared" ref="V36:V37" si="212">(U36/T36-1)*100</f>
        <v>25.035275109298016</v>
      </c>
      <c r="W36" s="22">
        <v>1478855</v>
      </c>
      <c r="X36" s="22">
        <v>2094503</v>
      </c>
      <c r="Y36" s="15">
        <f t="shared" ref="Y36:Y37" si="213">(X36/W36-1)*100</f>
        <v>41.630044865791447</v>
      </c>
      <c r="Z36" s="23">
        <f>AC36-W36</f>
        <v>568456</v>
      </c>
      <c r="AA36" s="22">
        <f>AD36-X36</f>
        <v>737745</v>
      </c>
      <c r="AB36" s="15">
        <f t="shared" ref="AB36:AB37" si="214">(AA36/Z36-1)*100</f>
        <v>29.780493125237495</v>
      </c>
      <c r="AC36" s="22">
        <v>2047311</v>
      </c>
      <c r="AD36" s="22">
        <v>2832248</v>
      </c>
      <c r="AE36" s="15">
        <f t="shared" ref="AE36:AE37" si="215">(AD36/AC36-1)*100</f>
        <v>38.339900484098408</v>
      </c>
      <c r="AF36" s="23">
        <f>AI36-AC36</f>
        <v>468546</v>
      </c>
      <c r="AG36" s="22">
        <f>AJ36-AD36</f>
        <v>662558</v>
      </c>
      <c r="AH36" s="15">
        <f t="shared" ref="AH36:AH37" si="216">(AG36/AF36-1)*100</f>
        <v>41.407247100604863</v>
      </c>
      <c r="AI36" s="22">
        <v>2515857</v>
      </c>
      <c r="AJ36" s="22">
        <v>3494806</v>
      </c>
      <c r="AK36" s="15">
        <f t="shared" ref="AK36:AK37" si="217">(AJ36/AI36-1)*100</f>
        <v>38.911154330313693</v>
      </c>
      <c r="AL36" s="23">
        <f>AO36-AI36</f>
        <v>614959</v>
      </c>
      <c r="AM36" s="22">
        <f>AP36-AJ36</f>
        <v>772068</v>
      </c>
      <c r="AN36" s="15">
        <f t="shared" ref="AN36:AN37" si="218">(AM36/AL36-1)*100</f>
        <v>25.547882053925552</v>
      </c>
      <c r="AO36" s="22">
        <v>3130816</v>
      </c>
      <c r="AP36" s="22">
        <v>4266874</v>
      </c>
      <c r="AQ36" s="15">
        <f t="shared" ref="AQ36:AQ37" si="219">(AP36/AO36-1)*100</f>
        <v>36.286322798912487</v>
      </c>
      <c r="AR36" s="23">
        <f>AU36-AO36</f>
        <v>424709</v>
      </c>
      <c r="AS36" s="22">
        <f>AV36-AP36</f>
        <v>591243</v>
      </c>
      <c r="AT36" s="15">
        <f t="shared" ref="AT36:AT37" si="220">(AS36/AR36-1)*100</f>
        <v>39.211318808878559</v>
      </c>
      <c r="AU36" s="22">
        <v>3555525</v>
      </c>
      <c r="AV36" s="22">
        <v>4858117</v>
      </c>
      <c r="AW36" s="15">
        <f t="shared" ref="AW36:AW37" si="221">(AV36/AU36-1)*100</f>
        <v>36.63571483817438</v>
      </c>
      <c r="AX36" s="23">
        <f>BA36-AU36</f>
        <v>520640</v>
      </c>
      <c r="AY36" s="22">
        <f>BB36-AV36</f>
        <v>514465</v>
      </c>
      <c r="AZ36" s="15">
        <f t="shared" ref="AZ36:AZ37" si="222">(AY36/AX36-1)*100</f>
        <v>-1.1860402581438279</v>
      </c>
      <c r="BA36" s="22">
        <v>4076165</v>
      </c>
      <c r="BB36" s="22">
        <v>5372582</v>
      </c>
      <c r="BC36" s="15">
        <f t="shared" ref="BC36:BC37" si="223">(BB36/BA36-1)*100</f>
        <v>31.804821443685416</v>
      </c>
      <c r="BD36" s="23">
        <f>BG36-BA36</f>
        <v>501047</v>
      </c>
      <c r="BE36" s="22">
        <f>BH36-BB36</f>
        <v>510694</v>
      </c>
      <c r="BF36" s="15">
        <f t="shared" ref="BF36:BF37" si="224">(BE36/BD36-1)*100</f>
        <v>1.9253682788241466</v>
      </c>
      <c r="BG36" s="22">
        <v>4577212</v>
      </c>
      <c r="BH36" s="22">
        <v>5883276</v>
      </c>
      <c r="BI36" s="15">
        <f t="shared" ref="BI36:BI37" si="225">(BH36/BG36-1)*100</f>
        <v>28.534050858907122</v>
      </c>
      <c r="BJ36" s="23">
        <f>BM36-BG36</f>
        <v>558337</v>
      </c>
      <c r="BK36" s="22">
        <f>BN36-BH36</f>
        <v>377753</v>
      </c>
      <c r="BL36" s="15">
        <f t="shared" ref="BL36:BL37" si="226">(BK36/BJ36-1)*100</f>
        <v>-32.343190582032001</v>
      </c>
      <c r="BM36" s="22">
        <v>5135549</v>
      </c>
      <c r="BN36" s="22">
        <v>6261029</v>
      </c>
      <c r="BO36" s="15">
        <f t="shared" ref="BO36:BO37" si="227">(BN36/BM36-1)*100</f>
        <v>21.915475833255616</v>
      </c>
      <c r="BP36" s="23">
        <f>BS36-BM36</f>
        <v>536405</v>
      </c>
      <c r="BQ36" s="22">
        <f>BT36-BN36</f>
        <v>405127</v>
      </c>
      <c r="BR36" s="15">
        <f t="shared" ref="BR36:BR37" si="228">(BQ36/BP36-1)*100</f>
        <v>-24.473671945638088</v>
      </c>
      <c r="BS36" s="22">
        <v>5671954</v>
      </c>
      <c r="BT36" s="22">
        <v>6666156</v>
      </c>
      <c r="BU36" s="15">
        <f t="shared" ref="BU36:BU37" si="229">(BT36/BS36-1)*100</f>
        <v>17.528386161100752</v>
      </c>
      <c r="BV36" s="23">
        <f>BY36-BS36</f>
        <v>768846</v>
      </c>
      <c r="BW36" s="22">
        <f>BZ36-BT36</f>
        <v>309380</v>
      </c>
      <c r="BX36" s="15">
        <f t="shared" ref="BX36:BX37" si="230">(BW36/BV36-1)*100</f>
        <v>-59.76047218818853</v>
      </c>
      <c r="BY36" s="22">
        <v>6440800</v>
      </c>
      <c r="BZ36" s="22">
        <v>6975536</v>
      </c>
      <c r="CA36" s="15">
        <f t="shared" ref="CA36:CA37" si="231">(BZ36/BY36-1)*100</f>
        <v>8.3023226928331972</v>
      </c>
      <c r="CB36" s="6"/>
    </row>
    <row r="37" spans="1:80" s="1" customFormat="1" ht="19.5" customHeight="1">
      <c r="A37" s="154"/>
      <c r="B37" s="134"/>
      <c r="C37" s="33" t="s">
        <v>104</v>
      </c>
      <c r="D37" s="17">
        <v>11715518</v>
      </c>
      <c r="E37" s="17">
        <v>12425257</v>
      </c>
      <c r="F37" s="17">
        <v>12343677</v>
      </c>
      <c r="G37" s="17">
        <v>12889905</v>
      </c>
      <c r="H37" s="17">
        <v>11962765</v>
      </c>
      <c r="I37" s="17">
        <v>11322753</v>
      </c>
      <c r="J37" s="17">
        <v>13576319</v>
      </c>
      <c r="K37" s="17">
        <v>878788</v>
      </c>
      <c r="L37" s="17">
        <v>1529813</v>
      </c>
      <c r="M37" s="18">
        <f t="shared" si="0"/>
        <v>74.082144954186901</v>
      </c>
      <c r="N37" s="14">
        <f>Q37-K37</f>
        <v>1097130</v>
      </c>
      <c r="O37" s="14">
        <f>R37-L37</f>
        <v>1437371</v>
      </c>
      <c r="P37" s="18">
        <f t="shared" si="1"/>
        <v>31.011912900020967</v>
      </c>
      <c r="Q37" s="17">
        <v>1975918</v>
      </c>
      <c r="R37" s="17">
        <v>2967184</v>
      </c>
      <c r="S37" s="18">
        <f t="shared" si="2"/>
        <v>50.167365244914009</v>
      </c>
      <c r="T37" s="14">
        <f>W37-Q37</f>
        <v>1127068</v>
      </c>
      <c r="U37" s="14">
        <f>X37-R37</f>
        <v>1240265</v>
      </c>
      <c r="V37" s="18">
        <f t="shared" si="212"/>
        <v>10.043493382830505</v>
      </c>
      <c r="W37" s="17">
        <v>3102986</v>
      </c>
      <c r="X37" s="17">
        <v>4207449</v>
      </c>
      <c r="Y37" s="18">
        <f t="shared" si="213"/>
        <v>35.593554079844395</v>
      </c>
      <c r="Z37" s="14">
        <f>AC37-W37</f>
        <v>1232181</v>
      </c>
      <c r="AA37" s="14">
        <f>AD37-X37</f>
        <v>1364371</v>
      </c>
      <c r="AB37" s="18">
        <f t="shared" si="214"/>
        <v>10.728131662474905</v>
      </c>
      <c r="AC37" s="17">
        <v>4335167</v>
      </c>
      <c r="AD37" s="17">
        <v>5571820</v>
      </c>
      <c r="AE37" s="18">
        <f t="shared" si="215"/>
        <v>28.526075235394632</v>
      </c>
      <c r="AF37" s="14">
        <f>AI37-AC37</f>
        <v>948910</v>
      </c>
      <c r="AG37" s="14">
        <f>AJ37-AD37</f>
        <v>1232252</v>
      </c>
      <c r="AH37" s="18">
        <f t="shared" si="216"/>
        <v>29.859733799833489</v>
      </c>
      <c r="AI37" s="17">
        <v>5284077</v>
      </c>
      <c r="AJ37" s="17">
        <v>6804072</v>
      </c>
      <c r="AK37" s="18">
        <f t="shared" si="217"/>
        <v>28.76557249260372</v>
      </c>
      <c r="AL37" s="14">
        <f>AO37-AI37</f>
        <v>1353319</v>
      </c>
      <c r="AM37" s="14">
        <f>AP37-AJ37</f>
        <v>1290146</v>
      </c>
      <c r="AN37" s="18">
        <f t="shared" si="218"/>
        <v>-4.6680051044875608</v>
      </c>
      <c r="AO37" s="17">
        <v>6637396</v>
      </c>
      <c r="AP37" s="17">
        <v>8094218</v>
      </c>
      <c r="AQ37" s="18">
        <f t="shared" si="219"/>
        <v>21.948697953233463</v>
      </c>
      <c r="AR37" s="14">
        <f>AU37-AO37</f>
        <v>958595</v>
      </c>
      <c r="AS37" s="14">
        <f>AV37-AP37</f>
        <v>1204230</v>
      </c>
      <c r="AT37" s="18">
        <f t="shared" si="220"/>
        <v>25.624481663267584</v>
      </c>
      <c r="AU37" s="17">
        <v>7595991</v>
      </c>
      <c r="AV37" s="17">
        <v>9298448</v>
      </c>
      <c r="AW37" s="18">
        <f t="shared" si="221"/>
        <v>22.412572632063423</v>
      </c>
      <c r="AX37" s="14">
        <f>BA37-AU37</f>
        <v>1234270</v>
      </c>
      <c r="AY37" s="14">
        <f>BB37-AV37</f>
        <v>880184</v>
      </c>
      <c r="AZ37" s="18">
        <f t="shared" si="222"/>
        <v>-28.687888387467897</v>
      </c>
      <c r="BA37" s="17">
        <v>8830261</v>
      </c>
      <c r="BB37" s="17">
        <v>10178632</v>
      </c>
      <c r="BC37" s="18">
        <f t="shared" si="223"/>
        <v>15.269888398542243</v>
      </c>
      <c r="BD37" s="14">
        <f>BG37-BA37</f>
        <v>1057167</v>
      </c>
      <c r="BE37" s="14">
        <f>BH37-BB37</f>
        <v>815070</v>
      </c>
      <c r="BF37" s="18">
        <f t="shared" si="224"/>
        <v>-22.90054456864431</v>
      </c>
      <c r="BG37" s="17">
        <v>9887428</v>
      </c>
      <c r="BH37" s="17">
        <v>10993702</v>
      </c>
      <c r="BI37" s="18">
        <f t="shared" si="225"/>
        <v>11.188693358879576</v>
      </c>
      <c r="BJ37" s="14">
        <f>BM37-BG37</f>
        <v>1096670</v>
      </c>
      <c r="BK37" s="14">
        <f>BN37-BH37</f>
        <v>775197</v>
      </c>
      <c r="BL37" s="18">
        <f t="shared" si="226"/>
        <v>-29.313558317451928</v>
      </c>
      <c r="BM37" s="17">
        <v>10984098</v>
      </c>
      <c r="BN37" s="17">
        <v>11768899</v>
      </c>
      <c r="BO37" s="18">
        <f t="shared" si="227"/>
        <v>7.1448834487820578</v>
      </c>
      <c r="BP37" s="14">
        <f>BS37-BM37</f>
        <v>1195732</v>
      </c>
      <c r="BQ37" s="14">
        <f>BT37-BN37</f>
        <v>625395</v>
      </c>
      <c r="BR37" s="18">
        <f t="shared" si="228"/>
        <v>-47.697728253488236</v>
      </c>
      <c r="BS37" s="17">
        <v>12179830</v>
      </c>
      <c r="BT37" s="17">
        <v>12394294</v>
      </c>
      <c r="BU37" s="18">
        <f t="shared" si="229"/>
        <v>1.7608127535441831</v>
      </c>
      <c r="BV37" s="14">
        <f>BY37-BS37</f>
        <v>1396489</v>
      </c>
      <c r="BW37" s="14">
        <f>BZ37-BT37</f>
        <v>766605</v>
      </c>
      <c r="BX37" s="18">
        <f t="shared" si="230"/>
        <v>-45.104830757707361</v>
      </c>
      <c r="BY37" s="17">
        <v>13576319</v>
      </c>
      <c r="BZ37" s="17">
        <v>13160899</v>
      </c>
      <c r="CA37" s="18">
        <f t="shared" si="231"/>
        <v>-3.0598868515096078</v>
      </c>
      <c r="CB37" s="6"/>
    </row>
    <row r="38" spans="1:80" s="1" customFormat="1" ht="19.5" customHeight="1" thickBot="1">
      <c r="A38" s="155"/>
      <c r="B38" s="135"/>
      <c r="C38" s="34" t="s">
        <v>105</v>
      </c>
      <c r="D38" s="19">
        <f t="shared" ref="D38:L38" si="232">D37/D36</f>
        <v>1.8778729665089793</v>
      </c>
      <c r="E38" s="19">
        <f t="shared" si="232"/>
        <v>1.8650798380258573</v>
      </c>
      <c r="F38" s="19">
        <f t="shared" si="232"/>
        <v>2.1549339222429778</v>
      </c>
      <c r="G38" s="19">
        <f t="shared" si="232"/>
        <v>2.1015616071048631</v>
      </c>
      <c r="H38" s="20">
        <f>H37/H36</f>
        <v>2.0058261146151857</v>
      </c>
      <c r="I38" s="20">
        <f>I37/I36</f>
        <v>2.0183189209538979</v>
      </c>
      <c r="J38" s="20">
        <f>J37/J36</f>
        <v>2.1078622220842131</v>
      </c>
      <c r="K38" s="20">
        <f t="shared" si="232"/>
        <v>2.0133614981740204</v>
      </c>
      <c r="L38" s="20">
        <f t="shared" si="232"/>
        <v>2.1984209671647967</v>
      </c>
      <c r="M38" s="47"/>
      <c r="N38" s="20">
        <f>N37/N36</f>
        <v>2.2153098744268034</v>
      </c>
      <c r="O38" s="20">
        <f>O37/O36</f>
        <v>2.0116286067364468</v>
      </c>
      <c r="P38" s="47"/>
      <c r="Q38" s="20">
        <f>Q37/Q36</f>
        <v>2.1207048845852916</v>
      </c>
      <c r="R38" s="20">
        <f>R37/R36</f>
        <v>2.1037889960294951</v>
      </c>
      <c r="S38" s="47"/>
      <c r="T38" s="20">
        <f>T37/T36</f>
        <v>2.0599713412583527</v>
      </c>
      <c r="U38" s="20">
        <f>U37/U36</f>
        <v>1.8129799167669196</v>
      </c>
      <c r="V38" s="47"/>
      <c r="W38" s="20">
        <f>W37/W36</f>
        <v>2.098235459189711</v>
      </c>
      <c r="X38" s="20">
        <f>X37/X36</f>
        <v>2.0088054302142324</v>
      </c>
      <c r="Y38" s="47"/>
      <c r="Z38" s="20">
        <f>Z37/Z36</f>
        <v>2.1675925665310949</v>
      </c>
      <c r="AA38" s="20">
        <f>AA37/AA36</f>
        <v>1.8493802058977018</v>
      </c>
      <c r="AB38" s="47"/>
      <c r="AC38" s="20">
        <f>AC37/AC36</f>
        <v>2.1174931410030036</v>
      </c>
      <c r="AD38" s="20">
        <f>AD37/AD36</f>
        <v>1.9672782891893648</v>
      </c>
      <c r="AE38" s="47"/>
      <c r="AF38" s="20">
        <f>AF37/AF36</f>
        <v>2.0252227102568372</v>
      </c>
      <c r="AG38" s="20">
        <f>AG37/AG36</f>
        <v>1.8598401951225403</v>
      </c>
      <c r="AH38" s="47"/>
      <c r="AI38" s="20">
        <f>AI37/AI36</f>
        <v>2.1003089603264415</v>
      </c>
      <c r="AJ38" s="20">
        <f>AJ37/AJ36</f>
        <v>1.9469097855503281</v>
      </c>
      <c r="AK38" s="47"/>
      <c r="AL38" s="20">
        <f>AL37/AL36</f>
        <v>2.2006654102143397</v>
      </c>
      <c r="AM38" s="20">
        <f>AM37/AM36</f>
        <v>1.6710263862768564</v>
      </c>
      <c r="AN38" s="47"/>
      <c r="AO38" s="20">
        <f>AO37/AO36</f>
        <v>2.1200211063186085</v>
      </c>
      <c r="AP38" s="20">
        <f>AP37/AP36</f>
        <v>1.896990161884321</v>
      </c>
      <c r="AQ38" s="47"/>
      <c r="AR38" s="20">
        <f>AR37/AR36</f>
        <v>2.2570630714206668</v>
      </c>
      <c r="AS38" s="20">
        <f>AS37/AS36</f>
        <v>2.036776756764985</v>
      </c>
      <c r="AT38" s="47"/>
      <c r="AU38" s="20">
        <f>AU37/AU36</f>
        <v>2.1363908283586812</v>
      </c>
      <c r="AV38" s="20">
        <f>AV37/AV36</f>
        <v>1.9140024828549826</v>
      </c>
      <c r="AW38" s="47"/>
      <c r="AX38" s="20">
        <f>AX37/AX36</f>
        <v>2.3706783958205286</v>
      </c>
      <c r="AY38" s="20">
        <f>AY37/AY36</f>
        <v>1.7108724597397296</v>
      </c>
      <c r="AZ38" s="47"/>
      <c r="BA38" s="20">
        <f>BA37/BA36</f>
        <v>2.1663158876051387</v>
      </c>
      <c r="BB38" s="20">
        <f>BB37/BB36</f>
        <v>1.8945512604554011</v>
      </c>
      <c r="BC38" s="47"/>
      <c r="BD38" s="20">
        <f>BD37/BD36</f>
        <v>2.1099158362389159</v>
      </c>
      <c r="BE38" s="20">
        <f>BE37/BE36</f>
        <v>1.5960046524924907</v>
      </c>
      <c r="BF38" s="47"/>
      <c r="BG38" s="20">
        <f>BG37/BG36</f>
        <v>2.1601420253202166</v>
      </c>
      <c r="BH38" s="20">
        <f>BH37/BH36</f>
        <v>1.8686361136210505</v>
      </c>
      <c r="BI38" s="47"/>
      <c r="BJ38" s="20">
        <f>BJ37/BJ36</f>
        <v>1.9641721755857127</v>
      </c>
      <c r="BK38" s="20">
        <f>BK37/BK36</f>
        <v>2.0521266541893777</v>
      </c>
      <c r="BL38" s="47"/>
      <c r="BM38" s="20">
        <f>BM37/BM36</f>
        <v>2.1388361789557457</v>
      </c>
      <c r="BN38" s="20">
        <f>BN37/BN36</f>
        <v>1.879706834132217</v>
      </c>
      <c r="BO38" s="47"/>
      <c r="BP38" s="20">
        <f>BP37/BP36</f>
        <v>2.2291589377429366</v>
      </c>
      <c r="BQ38" s="20">
        <f>BQ37/BQ36</f>
        <v>1.5437011110096339</v>
      </c>
      <c r="BR38" s="47"/>
      <c r="BS38" s="20">
        <f>BS37/BS36</f>
        <v>2.1473781345899492</v>
      </c>
      <c r="BT38" s="20">
        <f>BT37/BT36</f>
        <v>1.8592865213475351</v>
      </c>
      <c r="BU38" s="47"/>
      <c r="BV38" s="20">
        <f>BV37/BV36</f>
        <v>1.8163442353865404</v>
      </c>
      <c r="BW38" s="20">
        <f>BW37/BW36</f>
        <v>2.4778751050488075</v>
      </c>
      <c r="BX38" s="47"/>
      <c r="BY38" s="20">
        <f>BY37/BY36</f>
        <v>2.1078622220842131</v>
      </c>
      <c r="BZ38" s="20">
        <f>BZ37/BZ36</f>
        <v>1.8867222533150141</v>
      </c>
      <c r="CA38" s="47"/>
      <c r="CB38" s="6"/>
    </row>
    <row r="39" spans="1:80" s="1" customFormat="1" ht="19.5" customHeight="1">
      <c r="A39" s="164" t="s">
        <v>117</v>
      </c>
      <c r="B39" s="133" t="s">
        <v>75</v>
      </c>
      <c r="C39" s="32" t="s">
        <v>42</v>
      </c>
      <c r="D39" s="22">
        <f>37020+3259586+197417</f>
        <v>3494023</v>
      </c>
      <c r="E39" s="22">
        <f>72108+4164419+110477</f>
        <v>4347004</v>
      </c>
      <c r="F39" s="22">
        <f>55697+5619745+143342</f>
        <v>5818784</v>
      </c>
      <c r="G39" s="22">
        <f>94784+9822228+87551</f>
        <v>10004563</v>
      </c>
      <c r="H39" s="22">
        <f>219300+13694976+80218</f>
        <v>13994494</v>
      </c>
      <c r="I39" s="22">
        <v>13392494</v>
      </c>
      <c r="J39" s="22">
        <v>11068013</v>
      </c>
      <c r="K39" s="22">
        <v>1124132</v>
      </c>
      <c r="L39" s="22">
        <v>703977</v>
      </c>
      <c r="M39" s="15">
        <f t="shared" si="0"/>
        <v>-37.375948731999443</v>
      </c>
      <c r="N39" s="23">
        <f>Q39-K39</f>
        <v>928394</v>
      </c>
      <c r="O39" s="22">
        <f>R39-L39</f>
        <v>775569</v>
      </c>
      <c r="P39" s="15">
        <f t="shared" si="1"/>
        <v>-16.461222282780806</v>
      </c>
      <c r="Q39" s="22">
        <v>2052526</v>
      </c>
      <c r="R39" s="22">
        <v>1479546</v>
      </c>
      <c r="S39" s="15">
        <f t="shared" si="2"/>
        <v>-27.915846133008792</v>
      </c>
      <c r="T39" s="23">
        <f>W39-Q39</f>
        <v>974121</v>
      </c>
      <c r="U39" s="22">
        <f>X39-R39</f>
        <v>1122766</v>
      </c>
      <c r="V39" s="15">
        <f t="shared" ref="V39:V40" si="233">(U39/T39-1)*100</f>
        <v>15.259397959801714</v>
      </c>
      <c r="W39" s="22">
        <v>3026647</v>
      </c>
      <c r="X39" s="22">
        <v>2602312</v>
      </c>
      <c r="Y39" s="15">
        <f t="shared" ref="Y39:Y40" si="234">(X39/W39-1)*100</f>
        <v>-14.019969953549261</v>
      </c>
      <c r="Z39" s="23">
        <f>AC39-W39</f>
        <v>907674</v>
      </c>
      <c r="AA39" s="22">
        <f>AD39-X39</f>
        <v>1330664</v>
      </c>
      <c r="AB39" s="15">
        <f t="shared" ref="AB39:AB40" si="235">(AA39/Z39-1)*100</f>
        <v>46.601533149566919</v>
      </c>
      <c r="AC39" s="22">
        <v>3934321</v>
      </c>
      <c r="AD39" s="22">
        <v>3932976</v>
      </c>
      <c r="AE39" s="15">
        <f t="shared" ref="AE39:AE40" si="236">(AD39/AC39-1)*100</f>
        <v>-3.4186331008578819E-2</v>
      </c>
      <c r="AF39" s="23">
        <f>AI39-AC39</f>
        <v>969713</v>
      </c>
      <c r="AG39" s="22">
        <f>AJ39-AD39</f>
        <v>1027371</v>
      </c>
      <c r="AH39" s="15">
        <f t="shared" ref="AH39:AH40" si="237">(AG39/AF39-1)*100</f>
        <v>5.9458829571223726</v>
      </c>
      <c r="AI39" s="22">
        <v>4904034</v>
      </c>
      <c r="AJ39" s="22">
        <v>4960347</v>
      </c>
      <c r="AK39" s="15">
        <f t="shared" ref="AK39:AK40" si="238">(AJ39/AI39-1)*100</f>
        <v>1.1482995427845699</v>
      </c>
      <c r="AL39" s="23">
        <f>AO39-AI39</f>
        <v>958398</v>
      </c>
      <c r="AM39" s="22">
        <f>AP39-AJ39</f>
        <v>1046234</v>
      </c>
      <c r="AN39" s="15">
        <f t="shared" ref="AN39:AN40" si="239">(AM39/AL39-1)*100</f>
        <v>9.1648772221978767</v>
      </c>
      <c r="AO39" s="22">
        <v>5862432</v>
      </c>
      <c r="AP39" s="22">
        <v>6006581</v>
      </c>
      <c r="AQ39" s="15">
        <f t="shared" ref="AQ39:AQ40" si="240">(AP39/AO39-1)*100</f>
        <v>2.4588600771829894</v>
      </c>
      <c r="AR39" s="23">
        <f>AU39-AO39</f>
        <v>857924</v>
      </c>
      <c r="AS39" s="22">
        <f>AV39-AP39</f>
        <v>1046715</v>
      </c>
      <c r="AT39" s="15">
        <f t="shared" ref="AT39:AT40" si="241">(AS39/AR39-1)*100</f>
        <v>22.005562264256518</v>
      </c>
      <c r="AU39" s="22">
        <v>6720356</v>
      </c>
      <c r="AV39" s="22">
        <v>7053296</v>
      </c>
      <c r="AW39" s="15">
        <f t="shared" ref="AW39:AW40" si="242">(AV39/AU39-1)*100</f>
        <v>4.9542018309744362</v>
      </c>
      <c r="AX39" s="23">
        <f>BA39-AU39</f>
        <v>896506</v>
      </c>
      <c r="AY39" s="22">
        <f>BB39-AV39</f>
        <v>934457</v>
      </c>
      <c r="AZ39" s="15">
        <f t="shared" ref="AZ39:AZ40" si="243">(AY39/AX39-1)*100</f>
        <v>4.2332120476605839</v>
      </c>
      <c r="BA39" s="22">
        <v>7616862</v>
      </c>
      <c r="BB39" s="22">
        <v>7987753</v>
      </c>
      <c r="BC39" s="15">
        <f t="shared" ref="BC39:BC40" si="244">(BB39/BA39-1)*100</f>
        <v>4.8693412063918196</v>
      </c>
      <c r="BD39" s="23">
        <f>BG39-BA39</f>
        <v>882237</v>
      </c>
      <c r="BE39" s="22">
        <f>BH39-BB39</f>
        <v>1061103</v>
      </c>
      <c r="BF39" s="15">
        <f t="shared" ref="BF39:BF40" si="245">(BE39/BD39-1)*100</f>
        <v>20.274144022524567</v>
      </c>
      <c r="BG39" s="22">
        <v>8499099</v>
      </c>
      <c r="BH39" s="22">
        <v>9048856</v>
      </c>
      <c r="BI39" s="15">
        <f t="shared" ref="BI39:BI40" si="246">(BH39/BG39-1)*100</f>
        <v>6.4684150637614568</v>
      </c>
      <c r="BJ39" s="23">
        <f>BM39-BG39</f>
        <v>910665</v>
      </c>
      <c r="BK39" s="22">
        <f>BN39-BH39</f>
        <v>1388218</v>
      </c>
      <c r="BL39" s="15">
        <f t="shared" ref="BL39:BL40" si="247">(BK39/BJ39-1)*100</f>
        <v>52.440030087902791</v>
      </c>
      <c r="BM39" s="22">
        <v>9409764</v>
      </c>
      <c r="BN39" s="22">
        <v>10437074</v>
      </c>
      <c r="BO39" s="15">
        <f t="shared" ref="BO39:BO40" si="248">(BN39/BM39-1)*100</f>
        <v>10.917489535337976</v>
      </c>
      <c r="BP39" s="23">
        <f>BS39-BM39</f>
        <v>1004969</v>
      </c>
      <c r="BQ39" s="22">
        <f>BT39-BN39</f>
        <v>796648</v>
      </c>
      <c r="BR39" s="15">
        <f t="shared" ref="BR39:BR40" si="249">(BQ39/BP39-1)*100</f>
        <v>-20.729097116428463</v>
      </c>
      <c r="BS39" s="22">
        <v>10414733</v>
      </c>
      <c r="BT39" s="22">
        <v>11233722</v>
      </c>
      <c r="BU39" s="15">
        <f t="shared" ref="BU39:BU40" si="250">(BT39/BS39-1)*100</f>
        <v>7.8637541644130504</v>
      </c>
      <c r="BV39" s="23">
        <f>BY39-BS39</f>
        <v>653280</v>
      </c>
      <c r="BW39" s="22">
        <f>BZ39-BT39</f>
        <v>886793</v>
      </c>
      <c r="BX39" s="15">
        <f t="shared" ref="BX39:BX40" si="251">(BW39/BV39-1)*100</f>
        <v>35.74470364927749</v>
      </c>
      <c r="BY39" s="22">
        <v>11068013</v>
      </c>
      <c r="BZ39" s="22">
        <v>12120515</v>
      </c>
      <c r="CA39" s="15">
        <f t="shared" ref="CA39:CA40" si="252">(BZ39/BY39-1)*100</f>
        <v>9.509403359031122</v>
      </c>
      <c r="CB39" s="6"/>
    </row>
    <row r="40" spans="1:80" s="1" customFormat="1" ht="19.5" customHeight="1">
      <c r="A40" s="154"/>
      <c r="B40" s="134"/>
      <c r="C40" s="33" t="s">
        <v>104</v>
      </c>
      <c r="D40" s="17">
        <f>1270447+104700332+6187673</f>
        <v>112158452</v>
      </c>
      <c r="E40" s="17">
        <f>2629376+139777991+4378880</f>
        <v>146786247</v>
      </c>
      <c r="F40" s="17">
        <f>1905589+171642482+5712395</f>
        <v>179260466</v>
      </c>
      <c r="G40" s="17">
        <f>2677947+248431371+3460790</f>
        <v>254570108</v>
      </c>
      <c r="H40" s="17">
        <f>5199+322691662+2495671</f>
        <v>325192532</v>
      </c>
      <c r="I40" s="17">
        <v>337031640</v>
      </c>
      <c r="J40" s="17">
        <v>267297705</v>
      </c>
      <c r="K40" s="17">
        <v>28224063</v>
      </c>
      <c r="L40" s="17">
        <v>13131198</v>
      </c>
      <c r="M40" s="18">
        <f t="shared" si="0"/>
        <v>-53.475167625582465</v>
      </c>
      <c r="N40" s="14">
        <f>Q40-K40</f>
        <v>23549301</v>
      </c>
      <c r="O40" s="14">
        <f>R40-L40</f>
        <v>14686160</v>
      </c>
      <c r="P40" s="18">
        <f t="shared" si="1"/>
        <v>-37.636535368926658</v>
      </c>
      <c r="Q40" s="17">
        <v>51773364</v>
      </c>
      <c r="R40" s="17">
        <v>27817358</v>
      </c>
      <c r="S40" s="18">
        <f t="shared" si="2"/>
        <v>-46.270908724416671</v>
      </c>
      <c r="T40" s="14">
        <f>W40-Q40</f>
        <v>24608547</v>
      </c>
      <c r="U40" s="14">
        <f>X40-R40</f>
        <v>21572491</v>
      </c>
      <c r="V40" s="18">
        <f t="shared" si="233"/>
        <v>-12.337404561106347</v>
      </c>
      <c r="W40" s="17">
        <v>76381911</v>
      </c>
      <c r="X40" s="17">
        <v>49389849</v>
      </c>
      <c r="Y40" s="18">
        <f t="shared" si="234"/>
        <v>-35.338291025475911</v>
      </c>
      <c r="Z40" s="14">
        <f>AC40-W40</f>
        <v>22055064</v>
      </c>
      <c r="AA40" s="14">
        <f>AD40-X40</f>
        <v>26016344</v>
      </c>
      <c r="AB40" s="18">
        <f t="shared" si="235"/>
        <v>17.960863772601154</v>
      </c>
      <c r="AC40" s="17">
        <v>98436975</v>
      </c>
      <c r="AD40" s="17">
        <v>75406193</v>
      </c>
      <c r="AE40" s="18">
        <f t="shared" si="236"/>
        <v>-23.396474749452633</v>
      </c>
      <c r="AF40" s="14">
        <f>AI40-AC40</f>
        <v>23254429</v>
      </c>
      <c r="AG40" s="14">
        <f>AJ40-AD40</f>
        <v>20037178</v>
      </c>
      <c r="AH40" s="18">
        <f t="shared" si="237"/>
        <v>-13.835003215946518</v>
      </c>
      <c r="AI40" s="17">
        <v>121691404</v>
      </c>
      <c r="AJ40" s="17">
        <v>95443371</v>
      </c>
      <c r="AK40" s="18">
        <f t="shared" si="238"/>
        <v>-21.569340263343495</v>
      </c>
      <c r="AL40" s="14">
        <f>AO40-AI40</f>
        <v>22832398</v>
      </c>
      <c r="AM40" s="14">
        <f>AP40-AJ40</f>
        <v>20286203</v>
      </c>
      <c r="AN40" s="18">
        <f t="shared" si="239"/>
        <v>-11.151675789814108</v>
      </c>
      <c r="AO40" s="17">
        <v>144523802</v>
      </c>
      <c r="AP40" s="17">
        <v>115729574</v>
      </c>
      <c r="AQ40" s="18">
        <f t="shared" si="240"/>
        <v>-19.923519587451764</v>
      </c>
      <c r="AR40" s="14">
        <f>AU40-AO40</f>
        <v>21439572</v>
      </c>
      <c r="AS40" s="14">
        <f>AV40-AP40</f>
        <v>20218681</v>
      </c>
      <c r="AT40" s="18">
        <f t="shared" si="241"/>
        <v>-5.6945679699202945</v>
      </c>
      <c r="AU40" s="17">
        <v>165963374</v>
      </c>
      <c r="AV40" s="17">
        <v>135948255</v>
      </c>
      <c r="AW40" s="18">
        <f t="shared" si="242"/>
        <v>-18.085387321662914</v>
      </c>
      <c r="AX40" s="14">
        <f>BA40-AU40</f>
        <v>21921350</v>
      </c>
      <c r="AY40" s="14">
        <f>BB40-AV40</f>
        <v>17956786</v>
      </c>
      <c r="AZ40" s="18">
        <f t="shared" si="243"/>
        <v>-18.085400762270577</v>
      </c>
      <c r="BA40" s="17">
        <v>187884724</v>
      </c>
      <c r="BB40" s="17">
        <v>153905041</v>
      </c>
      <c r="BC40" s="18">
        <f t="shared" si="244"/>
        <v>-18.08538888983864</v>
      </c>
      <c r="BD40" s="14">
        <f>BG40-BA40</f>
        <v>21154567</v>
      </c>
      <c r="BE40" s="14">
        <f>BH40-BB40</f>
        <v>22064925</v>
      </c>
      <c r="BF40" s="18">
        <f t="shared" si="245"/>
        <v>4.3033639024613546</v>
      </c>
      <c r="BG40" s="17">
        <v>209039291</v>
      </c>
      <c r="BH40" s="17">
        <v>175969966</v>
      </c>
      <c r="BI40" s="18">
        <f t="shared" si="246"/>
        <v>-15.819669518492574</v>
      </c>
      <c r="BJ40" s="14">
        <f>BM40-BG40</f>
        <v>21239336</v>
      </c>
      <c r="BK40" s="14">
        <f>BN40-BH40</f>
        <v>30274196</v>
      </c>
      <c r="BL40" s="18">
        <f t="shared" si="247"/>
        <v>42.538335473387676</v>
      </c>
      <c r="BM40" s="17">
        <v>230278627</v>
      </c>
      <c r="BN40" s="17">
        <v>206244162</v>
      </c>
      <c r="BO40" s="18">
        <f t="shared" si="248"/>
        <v>-10.437123632841526</v>
      </c>
      <c r="BP40" s="14">
        <f>BS40-BM40</f>
        <v>23227810</v>
      </c>
      <c r="BQ40" s="14">
        <f>BT40-BN40</f>
        <v>17734518</v>
      </c>
      <c r="BR40" s="18">
        <f t="shared" si="249"/>
        <v>-23.649633779508271</v>
      </c>
      <c r="BS40" s="17">
        <v>253506437</v>
      </c>
      <c r="BT40" s="17">
        <v>223978680</v>
      </c>
      <c r="BU40" s="18">
        <f t="shared" si="250"/>
        <v>-11.64773460959494</v>
      </c>
      <c r="BV40" s="14">
        <f>BY40-BS40</f>
        <v>13791268</v>
      </c>
      <c r="BW40" s="14">
        <f>BZ40-BT40</f>
        <v>20838013</v>
      </c>
      <c r="BX40" s="18">
        <f t="shared" si="251"/>
        <v>51.095700554872849</v>
      </c>
      <c r="BY40" s="17">
        <v>267297705</v>
      </c>
      <c r="BZ40" s="17">
        <v>244816693</v>
      </c>
      <c r="CA40" s="18">
        <f t="shared" si="252"/>
        <v>-8.4104769997931701</v>
      </c>
      <c r="CB40" s="6"/>
    </row>
    <row r="41" spans="1:80" s="1" customFormat="1" ht="19.5" customHeight="1" thickBot="1">
      <c r="A41" s="155"/>
      <c r="B41" s="135"/>
      <c r="C41" s="34" t="s">
        <v>105</v>
      </c>
      <c r="D41" s="19">
        <f t="shared" ref="D41:L41" si="253">D40/D39</f>
        <v>32.100089781893253</v>
      </c>
      <c r="E41" s="19">
        <f t="shared" si="253"/>
        <v>33.767221516244291</v>
      </c>
      <c r="F41" s="19">
        <f t="shared" si="253"/>
        <v>30.80720404813102</v>
      </c>
      <c r="G41" s="19">
        <f t="shared" si="253"/>
        <v>25.445400063950821</v>
      </c>
      <c r="H41" s="20">
        <f>H40/H39</f>
        <v>23.237176849695317</v>
      </c>
      <c r="I41" s="20">
        <f>I40/I39</f>
        <v>25.165711479878205</v>
      </c>
      <c r="J41" s="20">
        <f>J40/J39</f>
        <v>24.150469013724503</v>
      </c>
      <c r="K41" s="20">
        <f t="shared" si="253"/>
        <v>25.107427775385808</v>
      </c>
      <c r="L41" s="20">
        <f t="shared" si="253"/>
        <v>18.652879284408439</v>
      </c>
      <c r="M41" s="47"/>
      <c r="N41" s="20">
        <f>N40/N39</f>
        <v>25.365632479313739</v>
      </c>
      <c r="O41" s="20">
        <f>O40/O39</f>
        <v>18.935981195741448</v>
      </c>
      <c r="P41" s="47"/>
      <c r="Q41" s="20">
        <f>Q40/Q39</f>
        <v>25.224218353385048</v>
      </c>
      <c r="R41" s="20">
        <f>R40/R39</f>
        <v>18.801279581709526</v>
      </c>
      <c r="S41" s="47"/>
      <c r="T41" s="20">
        <f>T40/T39</f>
        <v>25.262310329004304</v>
      </c>
      <c r="U41" s="20">
        <f>U40/U39</f>
        <v>19.213701697415132</v>
      </c>
      <c r="V41" s="47"/>
      <c r="W41" s="20">
        <f>W40/W39</f>
        <v>25.236478188569727</v>
      </c>
      <c r="X41" s="20">
        <f>X40/X39</f>
        <v>18.979218863841076</v>
      </c>
      <c r="Y41" s="47"/>
      <c r="Z41" s="20">
        <f>Z40/Z39</f>
        <v>24.298441951625804</v>
      </c>
      <c r="AA41" s="20">
        <f>AA40/AA39</f>
        <v>19.551399902605016</v>
      </c>
      <c r="AB41" s="47"/>
      <c r="AC41" s="20">
        <f>AC40/AC39</f>
        <v>25.020066995041837</v>
      </c>
      <c r="AD41" s="20">
        <f>AD40/AD39</f>
        <v>19.172807817794972</v>
      </c>
      <c r="AE41" s="47"/>
      <c r="AF41" s="20">
        <f>AF40/AF39</f>
        <v>23.980733474749744</v>
      </c>
      <c r="AG41" s="20">
        <f>AG40/AG39</f>
        <v>19.503351759004293</v>
      </c>
      <c r="AH41" s="47"/>
      <c r="AI41" s="20">
        <f>AI40/AI39</f>
        <v>24.814551448868421</v>
      </c>
      <c r="AJ41" s="20">
        <f>AJ40/AJ39</f>
        <v>19.241269007994802</v>
      </c>
      <c r="AK41" s="47"/>
      <c r="AL41" s="20">
        <f>AL40/AL39</f>
        <v>23.823503387945301</v>
      </c>
      <c r="AM41" s="20">
        <f>AM40/AM39</f>
        <v>19.389737859790447</v>
      </c>
      <c r="AN41" s="47"/>
      <c r="AO41" s="20">
        <f>AO40/AO39</f>
        <v>24.65253362427061</v>
      </c>
      <c r="AP41" s="20">
        <f>AP40/AP39</f>
        <v>19.267129503456292</v>
      </c>
      <c r="AQ41" s="47"/>
      <c r="AR41" s="20">
        <f>AR40/AR39</f>
        <v>24.990059725570099</v>
      </c>
      <c r="AS41" s="20">
        <f>AS40/AS39</f>
        <v>19.316319150867237</v>
      </c>
      <c r="AT41" s="47"/>
      <c r="AU41" s="20">
        <f>AU40/AU39</f>
        <v>24.695622374767051</v>
      </c>
      <c r="AV41" s="20">
        <f>AV40/AV39</f>
        <v>19.274429288094531</v>
      </c>
      <c r="AW41" s="47"/>
      <c r="AX41" s="20">
        <f>AX40/AX39</f>
        <v>24.451983589624611</v>
      </c>
      <c r="AY41" s="20">
        <f>AY40/AY39</f>
        <v>19.216278544652134</v>
      </c>
      <c r="AZ41" s="47"/>
      <c r="BA41" s="20">
        <f>BA40/BA39</f>
        <v>24.666946046810352</v>
      </c>
      <c r="BB41" s="20">
        <f>BB40/BB39</f>
        <v>19.267626452645693</v>
      </c>
      <c r="BC41" s="47"/>
      <c r="BD41" s="20">
        <f>BD40/BD39</f>
        <v>23.978326685459802</v>
      </c>
      <c r="BE41" s="20">
        <f>BE40/BE39</f>
        <v>20.794329108484284</v>
      </c>
      <c r="BF41" s="47"/>
      <c r="BG41" s="20">
        <f>BG40/BG39</f>
        <v>24.595464883983585</v>
      </c>
      <c r="BH41" s="20">
        <f>BH40/BH39</f>
        <v>19.446653367011255</v>
      </c>
      <c r="BI41" s="47"/>
      <c r="BJ41" s="20">
        <f>BJ40/BJ39</f>
        <v>23.322886022851431</v>
      </c>
      <c r="BK41" s="20">
        <f>BK40/BK39</f>
        <v>21.807955234696568</v>
      </c>
      <c r="BL41" s="47"/>
      <c r="BM41" s="20">
        <f>BM40/BM39</f>
        <v>24.472306319265819</v>
      </c>
      <c r="BN41" s="20">
        <f>BN40/BN39</f>
        <v>19.76072623419169</v>
      </c>
      <c r="BO41" s="47"/>
      <c r="BP41" s="20">
        <f>BP40/BP39</f>
        <v>23.112961693345763</v>
      </c>
      <c r="BQ41" s="20">
        <f>BQ40/BQ39</f>
        <v>22.261422861790905</v>
      </c>
      <c r="BR41" s="47"/>
      <c r="BS41" s="20">
        <f>BS40/BS39</f>
        <v>24.341136445840714</v>
      </c>
      <c r="BT41" s="20">
        <f>BT40/BT39</f>
        <v>19.938065050924351</v>
      </c>
      <c r="BU41" s="47"/>
      <c r="BV41" s="20">
        <f>BV40/BV39</f>
        <v>21.110807004653442</v>
      </c>
      <c r="BW41" s="20">
        <f>BW40/BW39</f>
        <v>23.498170373469343</v>
      </c>
      <c r="BX41" s="47"/>
      <c r="BY41" s="20">
        <f>BY40/BY39</f>
        <v>24.150469013724503</v>
      </c>
      <c r="BZ41" s="20">
        <f>BZ40/BZ39</f>
        <v>20.198538840965092</v>
      </c>
      <c r="CA41" s="47"/>
      <c r="CB41" s="6"/>
    </row>
    <row r="42" spans="1:80" s="1" customFormat="1" ht="19.5" customHeight="1">
      <c r="A42" s="164" t="s">
        <v>118</v>
      </c>
      <c r="B42" s="114" t="s">
        <v>185</v>
      </c>
      <c r="C42" s="32" t="s">
        <v>42</v>
      </c>
      <c r="D42" s="22">
        <v>8255315</v>
      </c>
      <c r="E42" s="22">
        <v>11087509</v>
      </c>
      <c r="F42" s="22">
        <v>11128809</v>
      </c>
      <c r="G42" s="22">
        <v>6351757</v>
      </c>
      <c r="H42" s="22">
        <v>6214730</v>
      </c>
      <c r="I42" s="22">
        <v>7715689</v>
      </c>
      <c r="J42" s="22">
        <v>7550361</v>
      </c>
      <c r="K42" s="22">
        <v>536239</v>
      </c>
      <c r="L42" s="22">
        <v>415769</v>
      </c>
      <c r="M42" s="15">
        <f t="shared" si="0"/>
        <v>-22.465728900732696</v>
      </c>
      <c r="N42" s="23">
        <f>Q42-K42</f>
        <v>678834</v>
      </c>
      <c r="O42" s="22">
        <f>R42-L42</f>
        <v>476294</v>
      </c>
      <c r="P42" s="15">
        <f t="shared" si="1"/>
        <v>-29.836454862308017</v>
      </c>
      <c r="Q42" s="22">
        <v>1215073</v>
      </c>
      <c r="R42" s="22">
        <v>892063</v>
      </c>
      <c r="S42" s="15">
        <f t="shared" si="2"/>
        <v>-26.583587981956637</v>
      </c>
      <c r="T42" s="23">
        <f>W42-Q42</f>
        <v>581996</v>
      </c>
      <c r="U42" s="22">
        <f>X42-R42</f>
        <v>713347</v>
      </c>
      <c r="V42" s="15">
        <f t="shared" ref="V42:V43" si="254">(U42/T42-1)*100</f>
        <v>22.569055457425826</v>
      </c>
      <c r="W42" s="22">
        <v>1797069</v>
      </c>
      <c r="X42" s="22">
        <v>1605410</v>
      </c>
      <c r="Y42" s="15">
        <f t="shared" ref="Y42:Y43" si="255">(X42/W42-1)*100</f>
        <v>-10.665088541397127</v>
      </c>
      <c r="Z42" s="23">
        <f>AC42-W42</f>
        <v>723815</v>
      </c>
      <c r="AA42" s="22">
        <f>AD42-X42</f>
        <v>615155</v>
      </c>
      <c r="AB42" s="15">
        <f t="shared" ref="AB42:AB43" si="256">(AA42/Z42-1)*100</f>
        <v>-15.012123263541099</v>
      </c>
      <c r="AC42" s="22">
        <v>2520884</v>
      </c>
      <c r="AD42" s="22">
        <v>2220565</v>
      </c>
      <c r="AE42" s="15">
        <f t="shared" ref="AE42:AE43" si="257">(AD42/AC42-1)*100</f>
        <v>-11.913241545426123</v>
      </c>
      <c r="AF42" s="23">
        <f>AI42-AC42</f>
        <v>589093</v>
      </c>
      <c r="AG42" s="22">
        <f>AJ42-AD42</f>
        <v>918069</v>
      </c>
      <c r="AH42" s="15">
        <f t="shared" ref="AH42:AH43" si="258">(AG42/AF42-1)*100</f>
        <v>55.844493144545936</v>
      </c>
      <c r="AI42" s="22">
        <v>3109977</v>
      </c>
      <c r="AJ42" s="22">
        <v>3138634</v>
      </c>
      <c r="AK42" s="15">
        <f t="shared" ref="AK42:AK43" si="259">(AJ42/AI42-1)*100</f>
        <v>0.92145375994741041</v>
      </c>
      <c r="AL42" s="23">
        <f>AO42-AI42</f>
        <v>748812</v>
      </c>
      <c r="AM42" s="22">
        <f>AP42-AJ42</f>
        <v>773697</v>
      </c>
      <c r="AN42" s="15">
        <f t="shared" ref="AN42:AN43" si="260">(AM42/AL42-1)*100</f>
        <v>3.3232640502556032</v>
      </c>
      <c r="AO42" s="22">
        <v>3858789</v>
      </c>
      <c r="AP42" s="22">
        <v>3912331</v>
      </c>
      <c r="AQ42" s="15">
        <f t="shared" ref="AQ42:AQ43" si="261">(AP42/AO42-1)*100</f>
        <v>1.3875337573523661</v>
      </c>
      <c r="AR42" s="23">
        <f>AU42-AO42</f>
        <v>752544</v>
      </c>
      <c r="AS42" s="22">
        <f>AV42-AP42</f>
        <v>959360</v>
      </c>
      <c r="AT42" s="15">
        <f t="shared" ref="AT42:AT43" si="262">(AS42/AR42-1)*100</f>
        <v>27.482246885231952</v>
      </c>
      <c r="AU42" s="22">
        <v>4611333</v>
      </c>
      <c r="AV42" s="22">
        <v>4871691</v>
      </c>
      <c r="AW42" s="15">
        <f t="shared" ref="AW42:AW43" si="263">(AV42/AU42-1)*100</f>
        <v>5.6460463818162721</v>
      </c>
      <c r="AX42" s="23">
        <f>BA42-AU42</f>
        <v>591417</v>
      </c>
      <c r="AY42" s="22">
        <f>BB42-AV42</f>
        <v>811831</v>
      </c>
      <c r="AZ42" s="15">
        <f t="shared" ref="AZ42:AZ43" si="264">(AY42/AX42-1)*100</f>
        <v>37.268796804961646</v>
      </c>
      <c r="BA42" s="22">
        <v>5202750</v>
      </c>
      <c r="BB42" s="22">
        <v>5683522</v>
      </c>
      <c r="BC42" s="15">
        <f t="shared" ref="BC42:BC43" si="265">(BB42/BA42-1)*100</f>
        <v>9.2407284609100859</v>
      </c>
      <c r="BD42" s="23">
        <f>BG42-BA42</f>
        <v>534402</v>
      </c>
      <c r="BE42" s="22">
        <f>BH42-BB42</f>
        <v>779109</v>
      </c>
      <c r="BF42" s="15">
        <f t="shared" ref="BF42:BF43" si="266">(BE42/BD42-1)*100</f>
        <v>45.790809166133364</v>
      </c>
      <c r="BG42" s="22">
        <v>5737152</v>
      </c>
      <c r="BH42" s="22">
        <v>6462631</v>
      </c>
      <c r="BI42" s="15">
        <f t="shared" ref="BI42:BI43" si="267">(BH42/BG42-1)*100</f>
        <v>12.645281142978249</v>
      </c>
      <c r="BJ42" s="23">
        <f>BM42-BG42</f>
        <v>832063</v>
      </c>
      <c r="BK42" s="22">
        <f>BN42-BH42</f>
        <v>822098</v>
      </c>
      <c r="BL42" s="15">
        <f t="shared" ref="BL42:BL43" si="268">(BK42/BJ42-1)*100</f>
        <v>-1.1976256605569557</v>
      </c>
      <c r="BM42" s="22">
        <v>6569215</v>
      </c>
      <c r="BN42" s="22">
        <v>7284729</v>
      </c>
      <c r="BO42" s="15">
        <f t="shared" ref="BO42:BO43" si="269">(BN42/BM42-1)*100</f>
        <v>10.891925443146565</v>
      </c>
      <c r="BP42" s="23">
        <f>BS42-BM42</f>
        <v>473913</v>
      </c>
      <c r="BQ42" s="22">
        <f>BT42-BN42</f>
        <v>788607</v>
      </c>
      <c r="BR42" s="15">
        <f t="shared" ref="BR42:BR43" si="270">(BQ42/BP42-1)*100</f>
        <v>66.403327192965804</v>
      </c>
      <c r="BS42" s="22">
        <v>7043128</v>
      </c>
      <c r="BT42" s="22">
        <v>8073336</v>
      </c>
      <c r="BU42" s="15">
        <f t="shared" ref="BU42:BU43" si="271">(BT42/BS42-1)*100</f>
        <v>14.627137260603519</v>
      </c>
      <c r="BV42" s="23">
        <f>BY42-BS42</f>
        <v>507233</v>
      </c>
      <c r="BW42" s="22">
        <f>BZ42-BT42</f>
        <v>767928</v>
      </c>
      <c r="BX42" s="15">
        <f t="shared" ref="BX42:BX43" si="272">(BW42/BV42-1)*100</f>
        <v>51.39551251594434</v>
      </c>
      <c r="BY42" s="22">
        <v>7550361</v>
      </c>
      <c r="BZ42" s="22">
        <v>8841264</v>
      </c>
      <c r="CA42" s="15">
        <f t="shared" ref="CA42:CA43" si="273">(BZ42/BY42-1)*100</f>
        <v>17.097235483177563</v>
      </c>
      <c r="CB42" s="6"/>
    </row>
    <row r="43" spans="1:80" s="1" customFormat="1" ht="19.5" customHeight="1">
      <c r="A43" s="154"/>
      <c r="B43" s="134"/>
      <c r="C43" s="33" t="s">
        <v>104</v>
      </c>
      <c r="D43" s="17">
        <v>24199116</v>
      </c>
      <c r="E43" s="17">
        <v>32485186</v>
      </c>
      <c r="F43" s="17">
        <v>41705156</v>
      </c>
      <c r="G43" s="17">
        <v>28738015</v>
      </c>
      <c r="H43" s="17">
        <v>25974173</v>
      </c>
      <c r="I43" s="17">
        <v>29014599</v>
      </c>
      <c r="J43" s="17">
        <v>23664800</v>
      </c>
      <c r="K43" s="17">
        <v>2291847</v>
      </c>
      <c r="L43" s="17">
        <v>1275202</v>
      </c>
      <c r="M43" s="18">
        <f t="shared" si="0"/>
        <v>-44.359200243297217</v>
      </c>
      <c r="N43" s="14">
        <f>Q43-K43</f>
        <v>1980955</v>
      </c>
      <c r="O43" s="14">
        <f>R43-L43</f>
        <v>1701780</v>
      </c>
      <c r="P43" s="18">
        <f t="shared" si="1"/>
        <v>-14.09295011749383</v>
      </c>
      <c r="Q43" s="17">
        <v>4272802</v>
      </c>
      <c r="R43" s="17">
        <v>2976982</v>
      </c>
      <c r="S43" s="18">
        <f t="shared" si="2"/>
        <v>-30.327171724783874</v>
      </c>
      <c r="T43" s="14">
        <f>W43-Q43</f>
        <v>1939060</v>
      </c>
      <c r="U43" s="14">
        <f>X43-R43</f>
        <v>2464610</v>
      </c>
      <c r="V43" s="18">
        <f t="shared" si="254"/>
        <v>27.103338731137772</v>
      </c>
      <c r="W43" s="17">
        <v>6211862</v>
      </c>
      <c r="X43" s="17">
        <v>5441592</v>
      </c>
      <c r="Y43" s="18">
        <f t="shared" si="255"/>
        <v>-12.399985704769357</v>
      </c>
      <c r="Z43" s="14">
        <f>AC43-W43</f>
        <v>2308312</v>
      </c>
      <c r="AA43" s="14">
        <f>AD43-X43</f>
        <v>2149943</v>
      </c>
      <c r="AB43" s="18">
        <f t="shared" si="256"/>
        <v>-6.8608143093307987</v>
      </c>
      <c r="AC43" s="17">
        <v>8520174</v>
      </c>
      <c r="AD43" s="17">
        <v>7591535</v>
      </c>
      <c r="AE43" s="18">
        <f t="shared" si="257"/>
        <v>-10.899296188082541</v>
      </c>
      <c r="AF43" s="14">
        <f>AI43-AC43</f>
        <v>1851987</v>
      </c>
      <c r="AG43" s="14">
        <f>AJ43-AD43</f>
        <v>3034559</v>
      </c>
      <c r="AH43" s="18">
        <f t="shared" si="258"/>
        <v>63.854227918446504</v>
      </c>
      <c r="AI43" s="17">
        <v>10372161</v>
      </c>
      <c r="AJ43" s="17">
        <v>10626094</v>
      </c>
      <c r="AK43" s="18">
        <f t="shared" si="259"/>
        <v>2.4482169144886878</v>
      </c>
      <c r="AL43" s="14">
        <f>AO43-AI43</f>
        <v>2174310</v>
      </c>
      <c r="AM43" s="14">
        <f>AP43-AJ43</f>
        <v>2396178</v>
      </c>
      <c r="AN43" s="18">
        <f t="shared" si="260"/>
        <v>10.204064737778884</v>
      </c>
      <c r="AO43" s="17">
        <v>12546471</v>
      </c>
      <c r="AP43" s="17">
        <v>13022272</v>
      </c>
      <c r="AQ43" s="18">
        <f t="shared" si="261"/>
        <v>3.7923094071631747</v>
      </c>
      <c r="AR43" s="14">
        <f>AU43-AO43</f>
        <v>2293093</v>
      </c>
      <c r="AS43" s="14">
        <f>AV43-AP43</f>
        <v>2671037</v>
      </c>
      <c r="AT43" s="18">
        <f t="shared" si="262"/>
        <v>16.48184351877573</v>
      </c>
      <c r="AU43" s="17">
        <v>14839564</v>
      </c>
      <c r="AV43" s="17">
        <v>15693309</v>
      </c>
      <c r="AW43" s="18">
        <f t="shared" si="263"/>
        <v>5.7531676806677146</v>
      </c>
      <c r="AX43" s="14">
        <f>BA43-AU43</f>
        <v>1861766</v>
      </c>
      <c r="AY43" s="14">
        <f>BB43-AV43</f>
        <v>2376467</v>
      </c>
      <c r="AZ43" s="18">
        <f t="shared" si="264"/>
        <v>27.645848081874959</v>
      </c>
      <c r="BA43" s="17">
        <v>16701330</v>
      </c>
      <c r="BB43" s="17">
        <v>18069776</v>
      </c>
      <c r="BC43" s="18">
        <f t="shared" si="265"/>
        <v>8.193634878180367</v>
      </c>
      <c r="BD43" s="14">
        <f>BG43-BA43</f>
        <v>1543180</v>
      </c>
      <c r="BE43" s="14">
        <f>BH43-BB43</f>
        <v>2383041</v>
      </c>
      <c r="BF43" s="18">
        <f t="shared" si="266"/>
        <v>54.424046449539262</v>
      </c>
      <c r="BG43" s="17">
        <v>18244510</v>
      </c>
      <c r="BH43" s="17">
        <v>20452817</v>
      </c>
      <c r="BI43" s="18">
        <f t="shared" si="267"/>
        <v>12.103953463261007</v>
      </c>
      <c r="BJ43" s="14">
        <f>BM43-BG43</f>
        <v>2224329</v>
      </c>
      <c r="BK43" s="14">
        <f>BN43-BH43</f>
        <v>2238606</v>
      </c>
      <c r="BL43" s="18">
        <f t="shared" si="268"/>
        <v>0.64185648795658246</v>
      </c>
      <c r="BM43" s="17">
        <v>20468839</v>
      </c>
      <c r="BN43" s="17">
        <v>22691423</v>
      </c>
      <c r="BO43" s="18">
        <f t="shared" si="269"/>
        <v>10.858378435630867</v>
      </c>
      <c r="BP43" s="14">
        <f>BS43-BM43</f>
        <v>1244509</v>
      </c>
      <c r="BQ43" s="14">
        <f>BT43-BN43</f>
        <v>2137601</v>
      </c>
      <c r="BR43" s="18">
        <f t="shared" si="270"/>
        <v>71.762598743761586</v>
      </c>
      <c r="BS43" s="17">
        <v>21713348</v>
      </c>
      <c r="BT43" s="17">
        <v>24829024</v>
      </c>
      <c r="BU43" s="18">
        <f t="shared" si="271"/>
        <v>14.349127550481855</v>
      </c>
      <c r="BV43" s="14">
        <f>BY43-BS43</f>
        <v>1951452</v>
      </c>
      <c r="BW43" s="14">
        <f>BZ43-BT43</f>
        <v>1963719</v>
      </c>
      <c r="BX43" s="18">
        <f t="shared" si="272"/>
        <v>0.62860885125537447</v>
      </c>
      <c r="BY43" s="17">
        <v>23664800</v>
      </c>
      <c r="BZ43" s="17">
        <v>26792743</v>
      </c>
      <c r="CA43" s="18">
        <f t="shared" si="273"/>
        <v>13.217703086440613</v>
      </c>
      <c r="CB43" s="6"/>
    </row>
    <row r="44" spans="1:80" s="1" customFormat="1" ht="19.5" customHeight="1" thickBot="1">
      <c r="A44" s="155"/>
      <c r="B44" s="135"/>
      <c r="C44" s="34" t="s">
        <v>105</v>
      </c>
      <c r="D44" s="19">
        <f t="shared" ref="D44:L44" si="274">D43/D42</f>
        <v>2.9313376897186845</v>
      </c>
      <c r="E44" s="19">
        <f t="shared" si="274"/>
        <v>2.9298903838544796</v>
      </c>
      <c r="F44" s="19">
        <f t="shared" si="274"/>
        <v>3.7474949925009944</v>
      </c>
      <c r="G44" s="19">
        <f t="shared" si="274"/>
        <v>4.5244197786533711</v>
      </c>
      <c r="H44" s="20">
        <f>H43/H42</f>
        <v>4.1794531701296762</v>
      </c>
      <c r="I44" s="20">
        <v>27657977</v>
      </c>
      <c r="J44" s="20">
        <f>J43/J42</f>
        <v>3.1342607326987411</v>
      </c>
      <c r="K44" s="20">
        <f t="shared" si="274"/>
        <v>4.2739282297632215</v>
      </c>
      <c r="L44" s="20">
        <f t="shared" si="274"/>
        <v>3.0670925441771755</v>
      </c>
      <c r="M44" s="47"/>
      <c r="N44" s="20">
        <f>N43/N42</f>
        <v>2.918172925928872</v>
      </c>
      <c r="O44" s="20">
        <f>O43/O42</f>
        <v>3.5729612382268097</v>
      </c>
      <c r="P44" s="47"/>
      <c r="Q44" s="20">
        <f>Q43/Q42</f>
        <v>3.5164981857057147</v>
      </c>
      <c r="R44" s="20">
        <f>R43/R42</f>
        <v>3.3371880685556961</v>
      </c>
      <c r="S44" s="47"/>
      <c r="T44" s="20">
        <f>T43/T42</f>
        <v>3.3317411116227604</v>
      </c>
      <c r="U44" s="20">
        <f>U43/U42</f>
        <v>3.4549945538426599</v>
      </c>
      <c r="V44" s="47"/>
      <c r="W44" s="20">
        <f>W43/W42</f>
        <v>3.4566630441012558</v>
      </c>
      <c r="X44" s="20">
        <f>X43/X42</f>
        <v>3.3895341376969124</v>
      </c>
      <c r="Y44" s="47"/>
      <c r="Z44" s="20">
        <f>Z43/Z42</f>
        <v>3.1890911351657536</v>
      </c>
      <c r="AA44" s="20">
        <f>AA43/AA42</f>
        <v>3.4949614324844958</v>
      </c>
      <c r="AB44" s="47"/>
      <c r="AC44" s="20">
        <f>AC43/AC42</f>
        <v>3.3798358036307898</v>
      </c>
      <c r="AD44" s="20">
        <f>AD43/AD42</f>
        <v>3.4187402755604994</v>
      </c>
      <c r="AE44" s="47"/>
      <c r="AF44" s="20">
        <f>AF43/AF42</f>
        <v>3.1437939340647403</v>
      </c>
      <c r="AG44" s="20">
        <f>AG43/AG42</f>
        <v>3.3053713827609905</v>
      </c>
      <c r="AH44" s="47"/>
      <c r="AI44" s="20">
        <f>AI43/AI42</f>
        <v>3.3351246649090975</v>
      </c>
      <c r="AJ44" s="20">
        <f>AJ43/AJ42</f>
        <v>3.3855792042015729</v>
      </c>
      <c r="AK44" s="47"/>
      <c r="AL44" s="20">
        <f>AL43/AL42</f>
        <v>2.9036794282142915</v>
      </c>
      <c r="AM44" s="20">
        <f>AM43/AM42</f>
        <v>3.0970496202001558</v>
      </c>
      <c r="AN44" s="47"/>
      <c r="AO44" s="20">
        <f>AO43/AO42</f>
        <v>3.2514011520194548</v>
      </c>
      <c r="AP44" s="20">
        <f>AP43/AP42</f>
        <v>3.3285200050813697</v>
      </c>
      <c r="AQ44" s="47"/>
      <c r="AR44" s="20">
        <f>AR43/AR42</f>
        <v>3.0471214972147806</v>
      </c>
      <c r="AS44" s="20">
        <f>AS43/AS42</f>
        <v>2.7841863325550369</v>
      </c>
      <c r="AT44" s="47"/>
      <c r="AU44" s="20">
        <f>AU43/AU42</f>
        <v>3.2180638440121325</v>
      </c>
      <c r="AV44" s="20">
        <f>AV43/AV42</f>
        <v>3.2213268452371056</v>
      </c>
      <c r="AW44" s="47"/>
      <c r="AX44" s="20">
        <f>AX43/AX42</f>
        <v>3.1479751173875625</v>
      </c>
      <c r="AY44" s="20">
        <f>AY43/AY42</f>
        <v>2.9272927493530059</v>
      </c>
      <c r="AZ44" s="47"/>
      <c r="BA44" s="20">
        <f>BA43/BA42</f>
        <v>3.2100965835375521</v>
      </c>
      <c r="BB44" s="20">
        <f>BB43/BB42</f>
        <v>3.1793271847984403</v>
      </c>
      <c r="BC44" s="47"/>
      <c r="BD44" s="20">
        <f>BD43/BD42</f>
        <v>2.8876763185766521</v>
      </c>
      <c r="BE44" s="20">
        <f>BE43/BE42</f>
        <v>3.0586747168881376</v>
      </c>
      <c r="BF44" s="47"/>
      <c r="BG44" s="20">
        <f>BG43/BG42</f>
        <v>3.1800639062726592</v>
      </c>
      <c r="BH44" s="20">
        <f>BH43/BH42</f>
        <v>3.1647818048098366</v>
      </c>
      <c r="BI44" s="47"/>
      <c r="BJ44" s="20">
        <f>BJ43/BJ42</f>
        <v>2.6732699326853857</v>
      </c>
      <c r="BK44" s="20">
        <f>BK43/BK42</f>
        <v>2.7230403187941099</v>
      </c>
      <c r="BL44" s="47"/>
      <c r="BM44" s="20">
        <f>BM43/BM42</f>
        <v>3.1158729011000554</v>
      </c>
      <c r="BN44" s="20">
        <f>BN43/BN42</f>
        <v>3.1149302877293032</v>
      </c>
      <c r="BO44" s="47"/>
      <c r="BP44" s="20">
        <f>BP43/BP42</f>
        <v>2.6260284060576518</v>
      </c>
      <c r="BQ44" s="20">
        <f>BQ43/BQ42</f>
        <v>2.7106036340027417</v>
      </c>
      <c r="BR44" s="47"/>
      <c r="BS44" s="20">
        <f>BS43/BS42</f>
        <v>3.082912592245945</v>
      </c>
      <c r="BT44" s="20">
        <f>BT43/BT42</f>
        <v>3.0754354829279991</v>
      </c>
      <c r="BU44" s="47"/>
      <c r="BV44" s="20">
        <f>BV43/BV42</f>
        <v>3.8472496860417205</v>
      </c>
      <c r="BW44" s="20">
        <f>BW43/BW42</f>
        <v>2.5571655155170796</v>
      </c>
      <c r="BX44" s="47"/>
      <c r="BY44" s="20">
        <f>BY43/BY42</f>
        <v>3.1342607326987411</v>
      </c>
      <c r="BZ44" s="20">
        <f>BZ43/BZ42</f>
        <v>3.0304199716239668</v>
      </c>
      <c r="CA44" s="47"/>
      <c r="CB44" s="6"/>
    </row>
    <row r="45" spans="1:80" s="1" customFormat="1" ht="19.5" customHeight="1">
      <c r="A45" s="151" t="s">
        <v>119</v>
      </c>
      <c r="B45" s="114">
        <v>2824</v>
      </c>
      <c r="C45" s="32" t="s">
        <v>42</v>
      </c>
      <c r="D45" s="22">
        <v>740369</v>
      </c>
      <c r="E45" s="22">
        <v>1754303</v>
      </c>
      <c r="F45" s="22">
        <v>1902738</v>
      </c>
      <c r="G45" s="22">
        <v>2333139</v>
      </c>
      <c r="H45" s="22">
        <v>2572816</v>
      </c>
      <c r="I45" s="22">
        <v>1815115</v>
      </c>
      <c r="J45" s="22">
        <v>2544195</v>
      </c>
      <c r="K45" s="22">
        <v>104420</v>
      </c>
      <c r="L45" s="22">
        <v>120525</v>
      </c>
      <c r="M45" s="15">
        <f t="shared" si="0"/>
        <v>15.423290557364489</v>
      </c>
      <c r="N45" s="23">
        <f>Q45-K45</f>
        <v>102329</v>
      </c>
      <c r="O45" s="22">
        <f>R45-L45</f>
        <v>42826</v>
      </c>
      <c r="P45" s="15">
        <f t="shared" si="1"/>
        <v>-58.148716395156796</v>
      </c>
      <c r="Q45" s="22">
        <v>206749</v>
      </c>
      <c r="R45" s="22">
        <v>163351</v>
      </c>
      <c r="S45" s="15">
        <f t="shared" si="2"/>
        <v>-20.990669846045208</v>
      </c>
      <c r="T45" s="23">
        <f>W45-Q45</f>
        <v>100016</v>
      </c>
      <c r="U45" s="22">
        <f>X45-R45</f>
        <v>66606</v>
      </c>
      <c r="V45" s="15">
        <f t="shared" ref="V45:V46" si="275">(U45/T45-1)*100</f>
        <v>-33.404655255159177</v>
      </c>
      <c r="W45" s="22">
        <v>306765</v>
      </c>
      <c r="X45" s="22">
        <v>229957</v>
      </c>
      <c r="Y45" s="15">
        <f t="shared" ref="Y45:Y46" si="276">(X45/W45-1)*100</f>
        <v>-25.038058448649615</v>
      </c>
      <c r="Z45" s="23">
        <f>AC45-W45</f>
        <v>197077</v>
      </c>
      <c r="AA45" s="22">
        <f>AD45-X45</f>
        <v>100345</v>
      </c>
      <c r="AB45" s="15">
        <f t="shared" ref="AB45:AB46" si="277">(AA45/Z45-1)*100</f>
        <v>-49.083353207122094</v>
      </c>
      <c r="AC45" s="22">
        <v>503842</v>
      </c>
      <c r="AD45" s="22">
        <v>330302</v>
      </c>
      <c r="AE45" s="15">
        <f t="shared" ref="AE45:AE46" si="278">(AD45/AC45-1)*100</f>
        <v>-34.443337395453334</v>
      </c>
      <c r="AF45" s="23">
        <f>AI45-AC45</f>
        <v>320025</v>
      </c>
      <c r="AG45" s="22">
        <f>AJ45-AD45</f>
        <v>40191</v>
      </c>
      <c r="AH45" s="15">
        <f t="shared" ref="AH45:AH46" si="279">(AG45/AF45-1)*100</f>
        <v>-87.441293648933666</v>
      </c>
      <c r="AI45" s="22">
        <v>823867</v>
      </c>
      <c r="AJ45" s="22">
        <v>370493</v>
      </c>
      <c r="AK45" s="15">
        <f t="shared" ref="AK45:AK46" si="280">(AJ45/AI45-1)*100</f>
        <v>-55.029998774073974</v>
      </c>
      <c r="AL45" s="23">
        <f>AO45-AI45</f>
        <v>471541</v>
      </c>
      <c r="AM45" s="22">
        <f>AP45-AJ45</f>
        <v>78432</v>
      </c>
      <c r="AN45" s="15">
        <f t="shared" ref="AN45:AN46" si="281">(AM45/AL45-1)*100</f>
        <v>-83.366875839004464</v>
      </c>
      <c r="AO45" s="22">
        <v>1295408</v>
      </c>
      <c r="AP45" s="22">
        <v>448925</v>
      </c>
      <c r="AQ45" s="15">
        <f t="shared" ref="AQ45:AQ46" si="282">(AP45/AO45-1)*100</f>
        <v>-65.344895199041545</v>
      </c>
      <c r="AR45" s="23">
        <f>AU45-AO45</f>
        <v>102062</v>
      </c>
      <c r="AS45" s="22">
        <f>AV45-AP45</f>
        <v>39600</v>
      </c>
      <c r="AT45" s="15">
        <f t="shared" ref="AT45:AT46" si="283">(AS45/AR45-1)*100</f>
        <v>-61.200054868609278</v>
      </c>
      <c r="AU45" s="22">
        <v>1397470</v>
      </c>
      <c r="AV45" s="22">
        <v>488525</v>
      </c>
      <c r="AW45" s="15">
        <f t="shared" ref="AW45:AW46" si="284">(AV45/AU45-1)*100</f>
        <v>-65.042183374240594</v>
      </c>
      <c r="AX45" s="23">
        <f>BA45-AU45</f>
        <v>320847</v>
      </c>
      <c r="AY45" s="22">
        <f>BB45-AV45</f>
        <v>190921</v>
      </c>
      <c r="AZ45" s="15">
        <f t="shared" ref="AZ45:AZ46" si="285">(AY45/AX45-1)*100</f>
        <v>-40.494690615776364</v>
      </c>
      <c r="BA45" s="22">
        <v>1718317</v>
      </c>
      <c r="BB45" s="22">
        <v>679446</v>
      </c>
      <c r="BC45" s="15">
        <f t="shared" ref="BC45:BC46" si="286">(BB45/BA45-1)*100</f>
        <v>-60.458634815345476</v>
      </c>
      <c r="BD45" s="23">
        <f>BG45-BA45</f>
        <v>219950</v>
      </c>
      <c r="BE45" s="22">
        <f>BH45-BB45</f>
        <v>65207</v>
      </c>
      <c r="BF45" s="15">
        <f t="shared" ref="BF45:BF46" si="287">(BE45/BD45-1)*100</f>
        <v>-70.353716753807689</v>
      </c>
      <c r="BG45" s="22">
        <v>1938267</v>
      </c>
      <c r="BH45" s="22">
        <v>744653</v>
      </c>
      <c r="BI45" s="15">
        <f t="shared" ref="BI45:BI46" si="288">(BH45/BG45-1)*100</f>
        <v>-61.581505540774309</v>
      </c>
      <c r="BJ45" s="23">
        <f>BM45-BG45</f>
        <v>381700</v>
      </c>
      <c r="BK45" s="22">
        <f>BN45-BH45</f>
        <v>903</v>
      </c>
      <c r="BL45" s="15">
        <f t="shared" ref="BL45:BL46" si="289">(BK45/BJ45-1)*100</f>
        <v>-99.763426774954155</v>
      </c>
      <c r="BM45" s="22">
        <v>2319967</v>
      </c>
      <c r="BN45" s="22">
        <v>745556</v>
      </c>
      <c r="BO45" s="15">
        <f t="shared" ref="BO45:BO46" si="290">(BN45/BM45-1)*100</f>
        <v>-67.863508403352284</v>
      </c>
      <c r="BP45" s="23">
        <f>BS45-BM45</f>
        <v>119601</v>
      </c>
      <c r="BQ45" s="22">
        <f>BT45-BN45</f>
        <v>39702</v>
      </c>
      <c r="BR45" s="15">
        <f t="shared" ref="BR45:BR46" si="291">(BQ45/BP45-1)*100</f>
        <v>-66.804625379386465</v>
      </c>
      <c r="BS45" s="22">
        <v>2439568</v>
      </c>
      <c r="BT45" s="22">
        <v>785258</v>
      </c>
      <c r="BU45" s="15">
        <f t="shared" ref="BU45:BU46" si="292">(BT45/BS45-1)*100</f>
        <v>-67.811596151449763</v>
      </c>
      <c r="BV45" s="23">
        <f>BY45-BS45</f>
        <v>104627</v>
      </c>
      <c r="BW45" s="22">
        <f>BZ45-BT45</f>
        <v>298</v>
      </c>
      <c r="BX45" s="15">
        <f t="shared" ref="BX45:BX46" si="293">(BW45/BV45-1)*100</f>
        <v>-99.715178682366883</v>
      </c>
      <c r="BY45" s="22">
        <v>2544195</v>
      </c>
      <c r="BZ45" s="22">
        <v>785556</v>
      </c>
      <c r="CA45" s="15">
        <f t="shared" ref="CA45:CA46" si="294">(BZ45/BY45-1)*100</f>
        <v>-69.123593120810312</v>
      </c>
      <c r="CB45" s="6"/>
    </row>
    <row r="46" spans="1:80" s="1" customFormat="1" ht="19.5" customHeight="1">
      <c r="A46" s="165"/>
      <c r="B46" s="115"/>
      <c r="C46" s="33" t="s">
        <v>104</v>
      </c>
      <c r="D46" s="17">
        <v>1655352</v>
      </c>
      <c r="E46" s="17">
        <v>4273068</v>
      </c>
      <c r="F46" s="17">
        <v>5207825</v>
      </c>
      <c r="G46" s="17">
        <v>5278516</v>
      </c>
      <c r="H46" s="17">
        <v>6139060</v>
      </c>
      <c r="I46" s="17">
        <v>4452457</v>
      </c>
      <c r="J46" s="17">
        <v>5664776</v>
      </c>
      <c r="K46" s="17">
        <v>287039</v>
      </c>
      <c r="L46" s="17">
        <v>238143</v>
      </c>
      <c r="M46" s="18">
        <f t="shared" si="0"/>
        <v>-17.034618989057236</v>
      </c>
      <c r="N46" s="14">
        <f>Q46-K46</f>
        <v>244884</v>
      </c>
      <c r="O46" s="14">
        <f>R46-L46</f>
        <v>107493</v>
      </c>
      <c r="P46" s="18">
        <f t="shared" si="1"/>
        <v>-56.104522957808591</v>
      </c>
      <c r="Q46" s="17">
        <v>531923</v>
      </c>
      <c r="R46" s="17">
        <v>345636</v>
      </c>
      <c r="S46" s="18">
        <f t="shared" si="2"/>
        <v>-35.02142227352455</v>
      </c>
      <c r="T46" s="14">
        <f>W46-Q46</f>
        <v>235018</v>
      </c>
      <c r="U46" s="14">
        <f>X46-R46</f>
        <v>152778</v>
      </c>
      <c r="V46" s="18">
        <f t="shared" si="275"/>
        <v>-34.99306436102767</v>
      </c>
      <c r="W46" s="17">
        <v>766941</v>
      </c>
      <c r="X46" s="17">
        <v>498414</v>
      </c>
      <c r="Y46" s="18">
        <f t="shared" si="276"/>
        <v>-35.01273240053667</v>
      </c>
      <c r="Z46" s="14">
        <f>AC46-W46</f>
        <v>499572</v>
      </c>
      <c r="AA46" s="14">
        <f>AD46-X46</f>
        <v>217231</v>
      </c>
      <c r="AB46" s="18">
        <f t="shared" si="277"/>
        <v>-56.516578190931433</v>
      </c>
      <c r="AC46" s="17">
        <v>1266513</v>
      </c>
      <c r="AD46" s="17">
        <v>715645</v>
      </c>
      <c r="AE46" s="18">
        <f t="shared" si="278"/>
        <v>-43.494855560108739</v>
      </c>
      <c r="AF46" s="14">
        <f>AI46-AC46</f>
        <v>715514</v>
      </c>
      <c r="AG46" s="14">
        <f>AJ46-AD46</f>
        <v>102565</v>
      </c>
      <c r="AH46" s="18">
        <f t="shared" si="279"/>
        <v>-85.665549521043616</v>
      </c>
      <c r="AI46" s="17">
        <v>1982027</v>
      </c>
      <c r="AJ46" s="17">
        <v>818210</v>
      </c>
      <c r="AK46" s="18">
        <f t="shared" si="280"/>
        <v>-58.718524016070418</v>
      </c>
      <c r="AL46" s="14">
        <f>AO46-AI46</f>
        <v>1056043</v>
      </c>
      <c r="AM46" s="14">
        <f>AP46-AJ46</f>
        <v>170001</v>
      </c>
      <c r="AN46" s="18">
        <f t="shared" si="281"/>
        <v>-83.902075957134329</v>
      </c>
      <c r="AO46" s="17">
        <v>3038070</v>
      </c>
      <c r="AP46" s="17">
        <v>988211</v>
      </c>
      <c r="AQ46" s="18">
        <f t="shared" si="282"/>
        <v>-67.472408469850919</v>
      </c>
      <c r="AR46" s="14">
        <f>AU46-AO46</f>
        <v>217577</v>
      </c>
      <c r="AS46" s="14">
        <f>AV46-AP46</f>
        <v>82645</v>
      </c>
      <c r="AT46" s="18">
        <f t="shared" si="283"/>
        <v>-62.015746149638986</v>
      </c>
      <c r="AU46" s="17">
        <v>3255647</v>
      </c>
      <c r="AV46" s="17">
        <v>1070856</v>
      </c>
      <c r="AW46" s="18">
        <f t="shared" si="284"/>
        <v>-67.107736188843575</v>
      </c>
      <c r="AX46" s="14">
        <f>BA46-AU46</f>
        <v>686879</v>
      </c>
      <c r="AY46" s="14">
        <f>BB46-AV46</f>
        <v>400821</v>
      </c>
      <c r="AZ46" s="18">
        <f t="shared" si="285"/>
        <v>-41.646054108511109</v>
      </c>
      <c r="BA46" s="17">
        <v>3942526</v>
      </c>
      <c r="BB46" s="17">
        <v>1471677</v>
      </c>
      <c r="BC46" s="18">
        <f t="shared" si="286"/>
        <v>-62.671723661429247</v>
      </c>
      <c r="BD46" s="14">
        <f>BG46-BA46</f>
        <v>473891</v>
      </c>
      <c r="BE46" s="14">
        <f>BH46-BB46</f>
        <v>150697</v>
      </c>
      <c r="BF46" s="18">
        <f t="shared" si="287"/>
        <v>-68.200071324418474</v>
      </c>
      <c r="BG46" s="17">
        <v>4416417</v>
      </c>
      <c r="BH46" s="17">
        <v>1622374</v>
      </c>
      <c r="BI46" s="18">
        <f t="shared" si="288"/>
        <v>-63.264927202299972</v>
      </c>
      <c r="BJ46" s="14">
        <f>BM46-BG46</f>
        <v>775651</v>
      </c>
      <c r="BK46" s="14">
        <f>BN46-BH46</f>
        <v>22833</v>
      </c>
      <c r="BL46" s="18">
        <f t="shared" si="289"/>
        <v>-97.05627917710413</v>
      </c>
      <c r="BM46" s="17">
        <v>5192068</v>
      </c>
      <c r="BN46" s="17">
        <v>1645207</v>
      </c>
      <c r="BO46" s="18">
        <f t="shared" si="290"/>
        <v>-68.313069089233807</v>
      </c>
      <c r="BP46" s="14">
        <f>BS46-BM46</f>
        <v>241013</v>
      </c>
      <c r="BQ46" s="14">
        <f>BT46-BN46</f>
        <v>95179</v>
      </c>
      <c r="BR46" s="18">
        <f t="shared" si="291"/>
        <v>-60.508769236514212</v>
      </c>
      <c r="BS46" s="17">
        <v>5433081</v>
      </c>
      <c r="BT46" s="17">
        <v>1740386</v>
      </c>
      <c r="BU46" s="18">
        <f t="shared" si="292"/>
        <v>-67.966868154551719</v>
      </c>
      <c r="BV46" s="14">
        <f>BY46-BS46</f>
        <v>231695</v>
      </c>
      <c r="BW46" s="14">
        <f>BZ46-BT46</f>
        <v>1568</v>
      </c>
      <c r="BX46" s="18">
        <f t="shared" si="293"/>
        <v>-99.323248235827279</v>
      </c>
      <c r="BY46" s="17">
        <v>5664776</v>
      </c>
      <c r="BZ46" s="17">
        <v>1741954</v>
      </c>
      <c r="CA46" s="18">
        <f t="shared" si="294"/>
        <v>-69.24937543867577</v>
      </c>
      <c r="CB46" s="6"/>
    </row>
    <row r="47" spans="1:80" s="1" customFormat="1" ht="19.5" customHeight="1" thickBot="1">
      <c r="A47" s="166"/>
      <c r="B47" s="116"/>
      <c r="C47" s="34" t="s">
        <v>105</v>
      </c>
      <c r="D47" s="19">
        <f t="shared" ref="D47:L47" si="295">D46/D45</f>
        <v>2.2358472599474046</v>
      </c>
      <c r="E47" s="19">
        <f t="shared" si="295"/>
        <v>2.4357639472770667</v>
      </c>
      <c r="F47" s="19">
        <f t="shared" si="295"/>
        <v>2.737016341713888</v>
      </c>
      <c r="G47" s="19">
        <f t="shared" si="295"/>
        <v>2.2624095692541251</v>
      </c>
      <c r="H47" s="20">
        <f>H46/H45</f>
        <v>2.3861247753434367</v>
      </c>
      <c r="I47" s="20">
        <f>I46/I45</f>
        <v>2.4529889290761191</v>
      </c>
      <c r="J47" s="20">
        <f>J46/J45</f>
        <v>2.2265494586696382</v>
      </c>
      <c r="K47" s="20">
        <f t="shared" si="295"/>
        <v>2.7488891017046542</v>
      </c>
      <c r="L47" s="20">
        <f t="shared" si="295"/>
        <v>1.97588052271313</v>
      </c>
      <c r="M47" s="47"/>
      <c r="N47" s="20">
        <f>N46/N45</f>
        <v>2.3931045940056093</v>
      </c>
      <c r="O47" s="20">
        <f>O46/O45</f>
        <v>2.5099939289216833</v>
      </c>
      <c r="P47" s="47"/>
      <c r="Q47" s="20">
        <f>Q46/Q45</f>
        <v>2.5727959990132963</v>
      </c>
      <c r="R47" s="20">
        <f>R46/R45</f>
        <v>2.1159099117850517</v>
      </c>
      <c r="S47" s="47"/>
      <c r="T47" s="20">
        <f>T46/T45</f>
        <v>2.3498040313549833</v>
      </c>
      <c r="U47" s="20">
        <f>U46/U45</f>
        <v>2.2937573191604361</v>
      </c>
      <c r="V47" s="47"/>
      <c r="W47" s="20">
        <f>W46/W45</f>
        <v>2.500092904992421</v>
      </c>
      <c r="X47" s="20">
        <f>X46/X45</f>
        <v>2.1674226050957355</v>
      </c>
      <c r="Y47" s="47"/>
      <c r="Z47" s="20">
        <f>Z46/Z45</f>
        <v>2.5349076756800639</v>
      </c>
      <c r="AA47" s="20">
        <f>AA46/AA45</f>
        <v>2.1648412975235436</v>
      </c>
      <c r="AB47" s="47"/>
      <c r="AC47" s="20">
        <f>AC46/AC45</f>
        <v>2.5137106473854898</v>
      </c>
      <c r="AD47" s="20">
        <f>AD46/AD45</f>
        <v>2.1666384096977915</v>
      </c>
      <c r="AE47" s="47"/>
      <c r="AF47" s="20">
        <f>AF46/AF45</f>
        <v>2.235806577611124</v>
      </c>
      <c r="AG47" s="20">
        <f>AG46/AG45</f>
        <v>2.55193948894031</v>
      </c>
      <c r="AH47" s="47"/>
      <c r="AI47" s="20">
        <f>AI46/AI45</f>
        <v>2.4057608813072986</v>
      </c>
      <c r="AJ47" s="20">
        <f>AJ46/AJ45</f>
        <v>2.2084357869109539</v>
      </c>
      <c r="AK47" s="47"/>
      <c r="AL47" s="20">
        <f>AL46/AL45</f>
        <v>2.2395571116827595</v>
      </c>
      <c r="AM47" s="20">
        <f>AM46/AM45</f>
        <v>2.1674954100367199</v>
      </c>
      <c r="AN47" s="47"/>
      <c r="AO47" s="20">
        <f>AO46/AO45</f>
        <v>2.3452611069253857</v>
      </c>
      <c r="AP47" s="20">
        <f>AP46/AP45</f>
        <v>2.2012830650999611</v>
      </c>
      <c r="AQ47" s="47"/>
      <c r="AR47" s="20">
        <f>AR46/AR45</f>
        <v>2.1318120358213637</v>
      </c>
      <c r="AS47" s="20">
        <f>AS46/AS45</f>
        <v>2.0869949494949496</v>
      </c>
      <c r="AT47" s="47"/>
      <c r="AU47" s="20">
        <f>AU46/AU45</f>
        <v>2.3296721933207869</v>
      </c>
      <c r="AV47" s="20">
        <f>AV46/AV45</f>
        <v>2.1920188321989662</v>
      </c>
      <c r="AW47" s="47"/>
      <c r="AX47" s="20">
        <f>AX46/AX45</f>
        <v>2.1408303646286235</v>
      </c>
      <c r="AY47" s="20">
        <f>AY46/AY45</f>
        <v>2.0994076083825246</v>
      </c>
      <c r="AZ47" s="47"/>
      <c r="BA47" s="20">
        <f>BA46/BA45</f>
        <v>2.2944113338807681</v>
      </c>
      <c r="BB47" s="20">
        <f>BB46/BB45</f>
        <v>2.1659955316537296</v>
      </c>
      <c r="BC47" s="47"/>
      <c r="BD47" s="20">
        <f>BD46/BD45</f>
        <v>2.1545396681063878</v>
      </c>
      <c r="BE47" s="20">
        <f>BE46/BE45</f>
        <v>2.3110555615194688</v>
      </c>
      <c r="BF47" s="47"/>
      <c r="BG47" s="20">
        <f>BG46/BG45</f>
        <v>2.2785390248092754</v>
      </c>
      <c r="BH47" s="20">
        <f>BH46/BH45</f>
        <v>2.1786979975908243</v>
      </c>
      <c r="BI47" s="47"/>
      <c r="BJ47" s="20">
        <f>BJ46/BJ45</f>
        <v>2.0320958868221117</v>
      </c>
      <c r="BK47" s="20">
        <f>BK46/BK45</f>
        <v>25.285714285714285</v>
      </c>
      <c r="BL47" s="47"/>
      <c r="BM47" s="20">
        <f>BM46/BM45</f>
        <v>2.2379921783370196</v>
      </c>
      <c r="BN47" s="20">
        <f>BN46/BN45</f>
        <v>2.2066846755978089</v>
      </c>
      <c r="BO47" s="47"/>
      <c r="BP47" s="20">
        <f>BP46/BP45</f>
        <v>2.0151420138627603</v>
      </c>
      <c r="BQ47" s="20">
        <f>BQ46/BQ45</f>
        <v>2.3973351468439876</v>
      </c>
      <c r="BR47" s="47"/>
      <c r="BS47" s="20">
        <f>BS46/BS45</f>
        <v>2.2270668413424017</v>
      </c>
      <c r="BT47" s="20">
        <f>BT46/BT45</f>
        <v>2.2163238069526194</v>
      </c>
      <c r="BU47" s="47"/>
      <c r="BV47" s="20">
        <f>BV46/BV45</f>
        <v>2.214485744597475</v>
      </c>
      <c r="BW47" s="20">
        <f>BW46/BW45</f>
        <v>5.2617449664429534</v>
      </c>
      <c r="BX47" s="47"/>
      <c r="BY47" s="20">
        <f>BY46/BY45</f>
        <v>2.2265494586696382</v>
      </c>
      <c r="BZ47" s="20">
        <f>BZ46/BZ45</f>
        <v>2.2174790848774624</v>
      </c>
      <c r="CA47" s="47"/>
      <c r="CB47" s="6"/>
    </row>
    <row r="48" spans="1:80" s="1" customFormat="1" ht="19.5" customHeight="1">
      <c r="A48" s="164" t="s">
        <v>120</v>
      </c>
      <c r="B48" s="133" t="s">
        <v>33</v>
      </c>
      <c r="C48" s="32" t="s">
        <v>42</v>
      </c>
      <c r="D48" s="22">
        <v>19557</v>
      </c>
      <c r="E48" s="22">
        <v>31116</v>
      </c>
      <c r="F48" s="22">
        <v>24344</v>
      </c>
      <c r="G48" s="22">
        <v>17669</v>
      </c>
      <c r="H48" s="22">
        <v>110307</v>
      </c>
      <c r="I48" s="22">
        <v>382821</v>
      </c>
      <c r="J48" s="22">
        <v>192043</v>
      </c>
      <c r="K48" s="22">
        <v>1030</v>
      </c>
      <c r="L48" s="22">
        <v>2150</v>
      </c>
      <c r="M48" s="15">
        <f t="shared" si="0"/>
        <v>108.7378640776699</v>
      </c>
      <c r="N48" s="23">
        <f>Q48-K48</f>
        <v>18100</v>
      </c>
      <c r="O48" s="22">
        <f>R48-L48</f>
        <v>120</v>
      </c>
      <c r="P48" s="15">
        <f t="shared" si="1"/>
        <v>-99.337016574585633</v>
      </c>
      <c r="Q48" s="22">
        <v>19130</v>
      </c>
      <c r="R48" s="22">
        <v>2270</v>
      </c>
      <c r="S48" s="15">
        <f t="shared" si="2"/>
        <v>-88.133821223209623</v>
      </c>
      <c r="T48" s="23">
        <f>W48-Q48</f>
        <v>25028</v>
      </c>
      <c r="U48" s="22">
        <f>X48-R48</f>
        <v>1964</v>
      </c>
      <c r="V48" s="15">
        <f t="shared" ref="V48:V49" si="296">(U48/T48-1)*100</f>
        <v>-92.152788876458374</v>
      </c>
      <c r="W48" s="22">
        <v>44158</v>
      </c>
      <c r="X48" s="22">
        <v>4234</v>
      </c>
      <c r="Y48" s="15">
        <f t="shared" ref="Y48:Y49" si="297">(X48/W48-1)*100</f>
        <v>-90.411703428597306</v>
      </c>
      <c r="Z48" s="23">
        <f>AC48-W48</f>
        <v>26451</v>
      </c>
      <c r="AA48" s="22">
        <f>AD48-X48</f>
        <v>1921</v>
      </c>
      <c r="AB48" s="15">
        <f t="shared" ref="AB48:AB49" si="298">(AA48/Z48-1)*100</f>
        <v>-92.73751464972969</v>
      </c>
      <c r="AC48" s="22">
        <v>70609</v>
      </c>
      <c r="AD48" s="22">
        <v>6155</v>
      </c>
      <c r="AE48" s="15">
        <f t="shared" ref="AE48:AE49" si="299">(AD48/AC48-1)*100</f>
        <v>-91.282980923111793</v>
      </c>
      <c r="AF48" s="23">
        <f>AI48-AC48</f>
        <v>17031</v>
      </c>
      <c r="AG48" s="22">
        <f>AJ48-AD48</f>
        <v>1890</v>
      </c>
      <c r="AH48" s="15">
        <f t="shared" ref="AH48:AH49" si="300">(AG48/AF48-1)*100</f>
        <v>-88.902589395807638</v>
      </c>
      <c r="AI48" s="22">
        <v>87640</v>
      </c>
      <c r="AJ48" s="22">
        <v>8045</v>
      </c>
      <c r="AK48" s="15">
        <f t="shared" ref="AK48:AK49" si="301">(AJ48/AI48-1)*100</f>
        <v>-90.820401643085347</v>
      </c>
      <c r="AL48" s="23">
        <f>AO48-AI48</f>
        <v>41209</v>
      </c>
      <c r="AM48" s="22">
        <f>AP48-AJ48</f>
        <v>839</v>
      </c>
      <c r="AN48" s="15">
        <f t="shared" ref="AN48:AN49" si="302">(AM48/AL48-1)*100</f>
        <v>-97.964036982212619</v>
      </c>
      <c r="AO48" s="22">
        <v>128849</v>
      </c>
      <c r="AP48" s="22">
        <v>8884</v>
      </c>
      <c r="AQ48" s="15">
        <f t="shared" ref="AQ48:AQ49" si="303">(AP48/AO48-1)*100</f>
        <v>-93.105107528968006</v>
      </c>
      <c r="AR48" s="23">
        <f>AU48-AO48</f>
        <v>33254</v>
      </c>
      <c r="AS48" s="22">
        <f>AV48-AP48</f>
        <v>1029</v>
      </c>
      <c r="AT48" s="15">
        <f t="shared" ref="AT48:AT49" si="304">(AS48/AR48-1)*100</f>
        <v>-96.905635412281228</v>
      </c>
      <c r="AU48" s="22">
        <v>162103</v>
      </c>
      <c r="AV48" s="22">
        <v>9913</v>
      </c>
      <c r="AW48" s="15">
        <f t="shared" ref="AW48:AW49" si="305">(AV48/AU48-1)*100</f>
        <v>-93.884752287126076</v>
      </c>
      <c r="AX48" s="23">
        <f>BA48-AU48</f>
        <v>25738</v>
      </c>
      <c r="AY48" s="22">
        <f>BB48-AV48</f>
        <v>3499</v>
      </c>
      <c r="AZ48" s="15">
        <f t="shared" ref="AZ48:AZ49" si="306">(AY48/AX48-1)*100</f>
        <v>-86.405315098298232</v>
      </c>
      <c r="BA48" s="22">
        <v>187841</v>
      </c>
      <c r="BB48" s="22">
        <v>13412</v>
      </c>
      <c r="BC48" s="15">
        <f t="shared" ref="BC48:BC49" si="307">(BB48/BA48-1)*100</f>
        <v>-92.859918761079854</v>
      </c>
      <c r="BD48" s="23">
        <f>BG48-BA48</f>
        <v>85</v>
      </c>
      <c r="BE48" s="22">
        <f>BH48-BB48</f>
        <v>1</v>
      </c>
      <c r="BF48" s="15">
        <f t="shared" ref="BF48:BF49" si="308">(BE48/BD48-1)*100</f>
        <v>-98.82352941176471</v>
      </c>
      <c r="BG48" s="22">
        <v>187926</v>
      </c>
      <c r="BH48" s="22">
        <v>13413</v>
      </c>
      <c r="BI48" s="15">
        <f t="shared" ref="BI48:BI49" si="309">(BH48/BG48-1)*100</f>
        <v>-92.862616136138683</v>
      </c>
      <c r="BJ48" s="23">
        <f>BM48-BG48</f>
        <v>1613</v>
      </c>
      <c r="BK48" s="22">
        <f>BN48-BH48</f>
        <v>160</v>
      </c>
      <c r="BL48" s="15">
        <f t="shared" ref="BL48:BL49" si="310">(BK48/BJ48-1)*100</f>
        <v>-90.080595164290145</v>
      </c>
      <c r="BM48" s="22">
        <v>189539</v>
      </c>
      <c r="BN48" s="22">
        <v>13573</v>
      </c>
      <c r="BO48" s="15">
        <f t="shared" ref="BO48:BO49" si="311">(BN48/BM48-1)*100</f>
        <v>-92.838940798463639</v>
      </c>
      <c r="BP48" s="23">
        <f>BS48-BM48</f>
        <v>543</v>
      </c>
      <c r="BQ48" s="22">
        <f>BT48-BN48</f>
        <v>2970</v>
      </c>
      <c r="BR48" s="15">
        <f t="shared" ref="BR48:BR49" si="312">(BQ48/BP48-1)*100</f>
        <v>446.96132596685078</v>
      </c>
      <c r="BS48" s="22">
        <v>190082</v>
      </c>
      <c r="BT48" s="22">
        <v>16543</v>
      </c>
      <c r="BU48" s="15">
        <f t="shared" ref="BU48:BU49" si="313">(BT48/BS48-1)*100</f>
        <v>-91.296913963447352</v>
      </c>
      <c r="BV48" s="23">
        <f>BY48-BS48</f>
        <v>1961</v>
      </c>
      <c r="BW48" s="22">
        <f>BZ48-BT48</f>
        <v>2033</v>
      </c>
      <c r="BX48" s="15">
        <f t="shared" ref="BX48:BX49" si="314">(BW48/BV48-1)*100</f>
        <v>3.6715961244263129</v>
      </c>
      <c r="BY48" s="22">
        <v>192043</v>
      </c>
      <c r="BZ48" s="22">
        <v>18576</v>
      </c>
      <c r="CA48" s="15">
        <f t="shared" ref="CA48:CA49" si="315">(BZ48/BY48-1)*100</f>
        <v>-90.327166311711437</v>
      </c>
      <c r="CB48" s="6"/>
    </row>
    <row r="49" spans="1:80" s="1" customFormat="1" ht="19.5" customHeight="1">
      <c r="A49" s="154"/>
      <c r="B49" s="167"/>
      <c r="C49" s="33" t="s">
        <v>104</v>
      </c>
      <c r="D49" s="17">
        <v>847288</v>
      </c>
      <c r="E49" s="17">
        <v>1419991</v>
      </c>
      <c r="F49" s="17">
        <v>1196613</v>
      </c>
      <c r="G49" s="17">
        <v>789033</v>
      </c>
      <c r="H49" s="17">
        <v>2157591</v>
      </c>
      <c r="I49" s="17">
        <v>5230551</v>
      </c>
      <c r="J49" s="17">
        <v>2798071</v>
      </c>
      <c r="K49" s="17">
        <v>123001</v>
      </c>
      <c r="L49" s="17">
        <v>194903</v>
      </c>
      <c r="M49" s="18">
        <f t="shared" si="0"/>
        <v>58.456435313534037</v>
      </c>
      <c r="N49" s="14">
        <f>Q49-K49</f>
        <v>314152</v>
      </c>
      <c r="O49" s="14">
        <f>R49-L49</f>
        <v>3534</v>
      </c>
      <c r="P49" s="18">
        <f t="shared" si="1"/>
        <v>-98.875066846622019</v>
      </c>
      <c r="Q49" s="17">
        <v>437153</v>
      </c>
      <c r="R49" s="17">
        <v>198437</v>
      </c>
      <c r="S49" s="18">
        <f t="shared" si="2"/>
        <v>-54.606968269690469</v>
      </c>
      <c r="T49" s="14">
        <f>W49-Q49</f>
        <v>282449</v>
      </c>
      <c r="U49" s="14">
        <f>X49-R49</f>
        <v>180493</v>
      </c>
      <c r="V49" s="18">
        <f t="shared" si="296"/>
        <v>-36.097136120149123</v>
      </c>
      <c r="W49" s="17">
        <v>719602</v>
      </c>
      <c r="X49" s="17">
        <v>378930</v>
      </c>
      <c r="Y49" s="18">
        <f t="shared" si="297"/>
        <v>-47.341725009102255</v>
      </c>
      <c r="Z49" s="14">
        <f>AC49-W49</f>
        <v>409489</v>
      </c>
      <c r="AA49" s="14">
        <f>AD49-X49</f>
        <v>186627</v>
      </c>
      <c r="AB49" s="18">
        <f t="shared" si="298"/>
        <v>-54.424416773100127</v>
      </c>
      <c r="AC49" s="17">
        <v>1129091</v>
      </c>
      <c r="AD49" s="17">
        <v>565557</v>
      </c>
      <c r="AE49" s="18">
        <f t="shared" si="299"/>
        <v>-49.910414660997205</v>
      </c>
      <c r="AF49" s="14">
        <f>AI49-AC49</f>
        <v>218970</v>
      </c>
      <c r="AG49" s="14">
        <f>AJ49-AD49</f>
        <v>75614</v>
      </c>
      <c r="AH49" s="18">
        <f t="shared" si="300"/>
        <v>-65.468328994839482</v>
      </c>
      <c r="AI49" s="17">
        <v>1348061</v>
      </c>
      <c r="AJ49" s="17">
        <v>641171</v>
      </c>
      <c r="AK49" s="18">
        <f t="shared" si="301"/>
        <v>-52.437538063930347</v>
      </c>
      <c r="AL49" s="14">
        <f>AO49-AI49</f>
        <v>409340</v>
      </c>
      <c r="AM49" s="14">
        <f>AP49-AJ49</f>
        <v>19589</v>
      </c>
      <c r="AN49" s="18">
        <f t="shared" si="302"/>
        <v>-95.214491620657654</v>
      </c>
      <c r="AO49" s="17">
        <v>1757401</v>
      </c>
      <c r="AP49" s="17">
        <v>660760</v>
      </c>
      <c r="AQ49" s="18">
        <f t="shared" si="303"/>
        <v>-62.401296004725161</v>
      </c>
      <c r="AR49" s="14">
        <f>AU49-AO49</f>
        <v>347333</v>
      </c>
      <c r="AS49" s="14">
        <f>AV49-AP49</f>
        <v>133560</v>
      </c>
      <c r="AT49" s="18">
        <f t="shared" si="304"/>
        <v>-61.54698804893286</v>
      </c>
      <c r="AU49" s="17">
        <v>2104734</v>
      </c>
      <c r="AV49" s="17">
        <v>794320</v>
      </c>
      <c r="AW49" s="18">
        <f t="shared" si="305"/>
        <v>-62.260314129956562</v>
      </c>
      <c r="AX49" s="14">
        <f>BA49-AU49</f>
        <v>333600</v>
      </c>
      <c r="AY49" s="14">
        <f>BB49-AV49</f>
        <v>450168</v>
      </c>
      <c r="AZ49" s="18">
        <f t="shared" si="306"/>
        <v>34.942446043165475</v>
      </c>
      <c r="BA49" s="17">
        <v>2438334</v>
      </c>
      <c r="BB49" s="17">
        <v>1244488</v>
      </c>
      <c r="BC49" s="18">
        <f t="shared" si="307"/>
        <v>-48.961545054943258</v>
      </c>
      <c r="BD49" s="14">
        <f>BG49-BA49</f>
        <v>11587</v>
      </c>
      <c r="BE49" s="14">
        <f>BH49-BB49</f>
        <v>67</v>
      </c>
      <c r="BF49" s="18">
        <f t="shared" si="308"/>
        <v>-99.421765771985847</v>
      </c>
      <c r="BG49" s="17">
        <v>2449921</v>
      </c>
      <c r="BH49" s="17">
        <v>1244555</v>
      </c>
      <c r="BI49" s="18">
        <f t="shared" si="309"/>
        <v>-49.200198700284623</v>
      </c>
      <c r="BJ49" s="14">
        <f>BM49-BG49</f>
        <v>137890</v>
      </c>
      <c r="BK49" s="14">
        <f>BN49-BH49</f>
        <v>13759</v>
      </c>
      <c r="BL49" s="18">
        <f t="shared" si="310"/>
        <v>-90.021756472550578</v>
      </c>
      <c r="BM49" s="17">
        <v>2587811</v>
      </c>
      <c r="BN49" s="17">
        <v>1258314</v>
      </c>
      <c r="BO49" s="18">
        <f t="shared" si="311"/>
        <v>-51.375351600252102</v>
      </c>
      <c r="BP49" s="14">
        <f>BS49-BM49</f>
        <v>44608</v>
      </c>
      <c r="BQ49" s="14">
        <f>BT49-BN49</f>
        <v>347094</v>
      </c>
      <c r="BR49" s="18">
        <f t="shared" si="312"/>
        <v>678.09809899569586</v>
      </c>
      <c r="BS49" s="17">
        <v>2632419</v>
      </c>
      <c r="BT49" s="17">
        <v>1605408</v>
      </c>
      <c r="BU49" s="18">
        <f t="shared" si="313"/>
        <v>-39.013963962423915</v>
      </c>
      <c r="BV49" s="14">
        <f>BY49-BS49</f>
        <v>165652</v>
      </c>
      <c r="BW49" s="14">
        <f>BZ49-BT49</f>
        <v>217301</v>
      </c>
      <c r="BX49" s="18">
        <f t="shared" si="314"/>
        <v>31.179219085794308</v>
      </c>
      <c r="BY49" s="17">
        <v>2798071</v>
      </c>
      <c r="BZ49" s="17">
        <v>1822709</v>
      </c>
      <c r="CA49" s="18">
        <f t="shared" si="315"/>
        <v>-34.858372071330571</v>
      </c>
      <c r="CB49" s="6"/>
    </row>
    <row r="50" spans="1:80" s="1" customFormat="1" ht="19.5" customHeight="1">
      <c r="A50" s="155"/>
      <c r="B50" s="168"/>
      <c r="C50" s="34" t="s">
        <v>105</v>
      </c>
      <c r="D50" s="52">
        <f t="shared" ref="D50:L50" si="316">D49/D48</f>
        <v>43.324027202536179</v>
      </c>
      <c r="E50" s="52">
        <f t="shared" si="316"/>
        <v>45.635396580537346</v>
      </c>
      <c r="F50" s="52">
        <f t="shared" si="316"/>
        <v>49.154329608938546</v>
      </c>
      <c r="G50" s="52">
        <f t="shared" si="316"/>
        <v>44.656347274888219</v>
      </c>
      <c r="H50" s="53">
        <f>H49/H48</f>
        <v>19.559873806739372</v>
      </c>
      <c r="I50" s="53">
        <f>I49/I48</f>
        <v>13.663176784972611</v>
      </c>
      <c r="J50" s="53">
        <f>J49/J48</f>
        <v>14.57002338018048</v>
      </c>
      <c r="K50" s="53">
        <f t="shared" si="316"/>
        <v>119.41844660194175</v>
      </c>
      <c r="L50" s="53">
        <f t="shared" si="316"/>
        <v>90.652558139534889</v>
      </c>
      <c r="M50" s="55"/>
      <c r="N50" s="53">
        <f>N49/N48</f>
        <v>17.356464088397789</v>
      </c>
      <c r="O50" s="53">
        <f>O49/O48</f>
        <v>29.45</v>
      </c>
      <c r="P50" s="55"/>
      <c r="Q50" s="53">
        <f>Q49/Q48</f>
        <v>22.851698902247779</v>
      </c>
      <c r="R50" s="53">
        <f>R49/R48</f>
        <v>87.417180616740083</v>
      </c>
      <c r="S50" s="55"/>
      <c r="T50" s="53">
        <f>T49/T48</f>
        <v>11.285320441105961</v>
      </c>
      <c r="U50" s="53">
        <f>U49/U48</f>
        <v>91.900712830957232</v>
      </c>
      <c r="V50" s="55"/>
      <c r="W50" s="53">
        <f>W49/W48</f>
        <v>16.296073191720641</v>
      </c>
      <c r="X50" s="53">
        <f>X49/X48</f>
        <v>89.496929617383088</v>
      </c>
      <c r="Y50" s="55"/>
      <c r="Z50" s="53">
        <f>Z49/Z48</f>
        <v>15.481040414351064</v>
      </c>
      <c r="AA50" s="53">
        <f>AA49/AA48</f>
        <v>97.150963040083283</v>
      </c>
      <c r="AB50" s="55"/>
      <c r="AC50" s="53">
        <f>AC49/AC48</f>
        <v>15.990751887153197</v>
      </c>
      <c r="AD50" s="53">
        <f>AD49/AD48</f>
        <v>91.885783915515844</v>
      </c>
      <c r="AE50" s="55"/>
      <c r="AF50" s="53">
        <f>AF49/AF48</f>
        <v>12.857142857142858</v>
      </c>
      <c r="AG50" s="53">
        <f>AG49/AG48</f>
        <v>40.007407407407406</v>
      </c>
      <c r="AH50" s="55"/>
      <c r="AI50" s="53">
        <f>AI49/AI48</f>
        <v>15.381800547695116</v>
      </c>
      <c r="AJ50" s="53">
        <f>AJ49/AJ48</f>
        <v>79.6980733374767</v>
      </c>
      <c r="AK50" s="55"/>
      <c r="AL50" s="53">
        <f>AL49/AL48</f>
        <v>9.9332670047805092</v>
      </c>
      <c r="AM50" s="53">
        <f>AM49/AM48</f>
        <v>23.348033373063171</v>
      </c>
      <c r="AN50" s="55"/>
      <c r="AO50" s="53">
        <f>AO49/AO48</f>
        <v>13.639228864795225</v>
      </c>
      <c r="AP50" s="53">
        <f>AP49/AP48</f>
        <v>74.376407023863123</v>
      </c>
      <c r="AQ50" s="55"/>
      <c r="AR50" s="53">
        <f>AR49/AR48</f>
        <v>10.444848740001202</v>
      </c>
      <c r="AS50" s="53">
        <f>AS49/AS48</f>
        <v>129.79591836734693</v>
      </c>
      <c r="AT50" s="55"/>
      <c r="AU50" s="53">
        <f>AU49/AU48</f>
        <v>12.983929970450886</v>
      </c>
      <c r="AV50" s="53">
        <f>AV49/AV48</f>
        <v>80.129123373348122</v>
      </c>
      <c r="AW50" s="55"/>
      <c r="AX50" s="53">
        <f>AX49/AX48</f>
        <v>12.96138006061077</v>
      </c>
      <c r="AY50" s="53">
        <f>AY49/AY48</f>
        <v>128.65618748213777</v>
      </c>
      <c r="AZ50" s="55"/>
      <c r="BA50" s="53">
        <f>BA49/BA48</f>
        <v>12.98084017866174</v>
      </c>
      <c r="BB50" s="53">
        <f>BB49/BB48</f>
        <v>92.789144050104383</v>
      </c>
      <c r="BC50" s="55"/>
      <c r="BD50" s="53">
        <f>BD49/BD48</f>
        <v>136.31764705882352</v>
      </c>
      <c r="BE50" s="53">
        <f>BE49/BE48</f>
        <v>67</v>
      </c>
      <c r="BF50" s="55"/>
      <c r="BG50" s="53">
        <f>BG49/BG48</f>
        <v>13.036626118791439</v>
      </c>
      <c r="BH50" s="53">
        <f>BH49/BH48</f>
        <v>92.787221352419294</v>
      </c>
      <c r="BI50" s="55"/>
      <c r="BJ50" s="53">
        <f>BJ49/BJ48</f>
        <v>85.486670799752019</v>
      </c>
      <c r="BK50" s="53">
        <f>BK49/BK48</f>
        <v>85.993750000000006</v>
      </c>
      <c r="BL50" s="55"/>
      <c r="BM50" s="53">
        <f>BM49/BM48</f>
        <v>13.653184832672959</v>
      </c>
      <c r="BN50" s="53">
        <f>BN49/BN48</f>
        <v>92.707139173358868</v>
      </c>
      <c r="BO50" s="55"/>
      <c r="BP50" s="53">
        <f>BP49/BP48</f>
        <v>82.151012891344379</v>
      </c>
      <c r="BQ50" s="53">
        <f>BQ49/BQ48</f>
        <v>116.86666666666666</v>
      </c>
      <c r="BR50" s="55"/>
      <c r="BS50" s="53">
        <f>BS49/BS48</f>
        <v>13.848859965699013</v>
      </c>
      <c r="BT50" s="53">
        <f>BT49/BT48</f>
        <v>97.044550565193731</v>
      </c>
      <c r="BU50" s="55"/>
      <c r="BV50" s="53">
        <f>BV49/BV48</f>
        <v>84.473227944926052</v>
      </c>
      <c r="BW50" s="53">
        <f>BW49/BW48</f>
        <v>106.88686669945893</v>
      </c>
      <c r="BX50" s="55"/>
      <c r="BY50" s="53">
        <f>BY49/BY48</f>
        <v>14.57002338018048</v>
      </c>
      <c r="BZ50" s="53">
        <f>BZ49/BZ48</f>
        <v>98.121716192937129</v>
      </c>
      <c r="CA50" s="55"/>
      <c r="CB50" s="6"/>
    </row>
    <row r="51" spans="1:80" s="1" customFormat="1" ht="19.5" customHeight="1">
      <c r="A51" s="156" t="s">
        <v>121</v>
      </c>
      <c r="B51" s="125" t="s">
        <v>34</v>
      </c>
      <c r="C51" s="32" t="s">
        <v>42</v>
      </c>
      <c r="D51" s="14">
        <v>2354086</v>
      </c>
      <c r="E51" s="14">
        <v>4223541</v>
      </c>
      <c r="F51" s="14">
        <v>5645623</v>
      </c>
      <c r="G51" s="14">
        <v>3794810</v>
      </c>
      <c r="H51" s="14">
        <v>1315901</v>
      </c>
      <c r="I51" s="14">
        <v>1126362</v>
      </c>
      <c r="J51" s="14">
        <v>4471911</v>
      </c>
      <c r="K51" s="14">
        <v>395532</v>
      </c>
      <c r="L51" s="14">
        <v>170820</v>
      </c>
      <c r="M51" s="15">
        <f t="shared" si="0"/>
        <v>-56.812596705197052</v>
      </c>
      <c r="N51" s="16">
        <f>Q51-K51</f>
        <v>348892</v>
      </c>
      <c r="O51" s="14">
        <f>R51-L51</f>
        <v>363680</v>
      </c>
      <c r="P51" s="15">
        <f t="shared" si="1"/>
        <v>4.2385609300299221</v>
      </c>
      <c r="Q51" s="14">
        <v>744424</v>
      </c>
      <c r="R51" s="14">
        <v>534500</v>
      </c>
      <c r="S51" s="15">
        <f t="shared" si="2"/>
        <v>-28.199520703255132</v>
      </c>
      <c r="T51" s="16">
        <f>W51-Q51</f>
        <v>254398</v>
      </c>
      <c r="U51" s="14">
        <f>X51-R51</f>
        <v>343590</v>
      </c>
      <c r="V51" s="15">
        <f t="shared" ref="V51:V52" si="317">(U51/T51-1)*100</f>
        <v>35.060024056792891</v>
      </c>
      <c r="W51" s="14">
        <v>998822</v>
      </c>
      <c r="X51" s="14">
        <v>878090</v>
      </c>
      <c r="Y51" s="15">
        <f t="shared" ref="Y51:Y52" si="318">(X51/W51-1)*100</f>
        <v>-12.087439003145706</v>
      </c>
      <c r="Z51" s="16">
        <f>AC51-W51</f>
        <v>391835</v>
      </c>
      <c r="AA51" s="14">
        <f>AD51-X51</f>
        <v>102015</v>
      </c>
      <c r="AB51" s="15">
        <f t="shared" ref="AB51:AB52" si="319">(AA51/Z51-1)*100</f>
        <v>-73.964806615029289</v>
      </c>
      <c r="AC51" s="14">
        <v>1390657</v>
      </c>
      <c r="AD51" s="14">
        <v>980105</v>
      </c>
      <c r="AE51" s="15">
        <f t="shared" ref="AE51:AE52" si="320">(AD51/AC51-1)*100</f>
        <v>-29.522161108023038</v>
      </c>
      <c r="AF51" s="16">
        <f>AI51-AC51</f>
        <v>302570</v>
      </c>
      <c r="AG51" s="14">
        <f>AJ51-AD51</f>
        <v>630740</v>
      </c>
      <c r="AH51" s="15">
        <f t="shared" ref="AH51:AH52" si="321">(AG51/AF51-1)*100</f>
        <v>108.46085203424001</v>
      </c>
      <c r="AI51" s="14">
        <v>1693227</v>
      </c>
      <c r="AJ51" s="14">
        <v>1610845</v>
      </c>
      <c r="AK51" s="15">
        <f t="shared" ref="AK51:AK52" si="322">(AJ51/AI51-1)*100</f>
        <v>-4.8653842633031523</v>
      </c>
      <c r="AL51" s="16">
        <f>AO51-AI51</f>
        <v>324529</v>
      </c>
      <c r="AM51" s="14">
        <f>AP51-AJ51</f>
        <v>312207</v>
      </c>
      <c r="AN51" s="15">
        <f t="shared" ref="AN51:AN52" si="323">(AM51/AL51-1)*100</f>
        <v>-3.7968871811147831</v>
      </c>
      <c r="AO51" s="14">
        <v>2017756</v>
      </c>
      <c r="AP51" s="14">
        <v>1923052</v>
      </c>
      <c r="AQ51" s="15">
        <f t="shared" ref="AQ51:AQ52" si="324">(AP51/AO51-1)*100</f>
        <v>-4.6935308332622938</v>
      </c>
      <c r="AR51" s="16">
        <f>AU51-AO51</f>
        <v>746901</v>
      </c>
      <c r="AS51" s="14">
        <f>AV51-AP51</f>
        <v>371301</v>
      </c>
      <c r="AT51" s="15">
        <f t="shared" ref="AT51:AT52" si="325">(AS51/AR51-1)*100</f>
        <v>-50.2877891447461</v>
      </c>
      <c r="AU51" s="14">
        <v>2764657</v>
      </c>
      <c r="AV51" s="14">
        <v>2294353</v>
      </c>
      <c r="AW51" s="15">
        <f t="shared" ref="AW51:AW52" si="326">(AV51/AU51-1)*100</f>
        <v>-17.011296518881004</v>
      </c>
      <c r="AX51" s="16">
        <f>BA51-AU51</f>
        <v>373180</v>
      </c>
      <c r="AY51" s="14">
        <f>BB51-AV51</f>
        <v>691600</v>
      </c>
      <c r="AZ51" s="15">
        <f t="shared" ref="AZ51:AZ52" si="327">(AY51/AX51-1)*100</f>
        <v>85.326116083391398</v>
      </c>
      <c r="BA51" s="14">
        <v>3137837</v>
      </c>
      <c r="BB51" s="14">
        <v>2985953</v>
      </c>
      <c r="BC51" s="15">
        <f t="shared" ref="BC51:BC52" si="328">(BB51/BA51-1)*100</f>
        <v>-4.8404043932173675</v>
      </c>
      <c r="BD51" s="16">
        <f>BG51-BA51</f>
        <v>483584</v>
      </c>
      <c r="BE51" s="14">
        <f>BH51-BB51</f>
        <v>1109962</v>
      </c>
      <c r="BF51" s="15">
        <f t="shared" ref="BF51:BF52" si="329">(BE51/BD51-1)*100</f>
        <v>129.52827223398623</v>
      </c>
      <c r="BG51" s="14">
        <v>3621421</v>
      </c>
      <c r="BH51" s="14">
        <v>4095915</v>
      </c>
      <c r="BI51" s="15">
        <f t="shared" ref="BI51:BI52" si="330">(BH51/BG51-1)*100</f>
        <v>13.102425815722608</v>
      </c>
      <c r="BJ51" s="16">
        <f>BM51-BG51</f>
        <v>287860</v>
      </c>
      <c r="BK51" s="14">
        <f>BN51-BH51</f>
        <v>511507</v>
      </c>
      <c r="BL51" s="15">
        <f t="shared" ref="BL51:BL52" si="331">(BK51/BJ51-1)*100</f>
        <v>77.692975752101717</v>
      </c>
      <c r="BM51" s="14">
        <v>3909281</v>
      </c>
      <c r="BN51" s="14">
        <v>4607422</v>
      </c>
      <c r="BO51" s="15">
        <f t="shared" ref="BO51:BO52" si="332">(BN51/BM51-1)*100</f>
        <v>17.858552506202543</v>
      </c>
      <c r="BP51" s="16">
        <f>BS51-BM51</f>
        <v>281571</v>
      </c>
      <c r="BQ51" s="14">
        <f>BT51-BN51</f>
        <v>574424</v>
      </c>
      <c r="BR51" s="15">
        <f t="shared" ref="BR51:BR52" si="333">(BQ51/BP51-1)*100</f>
        <v>104.00680467803855</v>
      </c>
      <c r="BS51" s="14">
        <v>4190852</v>
      </c>
      <c r="BT51" s="14">
        <v>5181846</v>
      </c>
      <c r="BU51" s="15">
        <f t="shared" ref="BU51:BU52" si="334">(BT51/BS51-1)*100</f>
        <v>23.646599784482959</v>
      </c>
      <c r="BV51" s="16">
        <f>BY51-BS51</f>
        <v>281059</v>
      </c>
      <c r="BW51" s="14">
        <f>BZ51-BT51</f>
        <v>771294</v>
      </c>
      <c r="BX51" s="15">
        <f t="shared" ref="BX51:BX52" si="335">(BW51/BV51-1)*100</f>
        <v>174.42423121124034</v>
      </c>
      <c r="BY51" s="14">
        <v>4471911</v>
      </c>
      <c r="BZ51" s="14">
        <v>5953140</v>
      </c>
      <c r="CA51" s="15">
        <f t="shared" ref="CA51:CA52" si="336">(BZ51/BY51-1)*100</f>
        <v>33.122953475594663</v>
      </c>
      <c r="CB51" s="6"/>
    </row>
    <row r="52" spans="1:80" s="1" customFormat="1" ht="19.5" customHeight="1">
      <c r="A52" s="165"/>
      <c r="B52" s="167"/>
      <c r="C52" s="33" t="s">
        <v>104</v>
      </c>
      <c r="D52" s="17">
        <v>24201468</v>
      </c>
      <c r="E52" s="17">
        <v>46976671</v>
      </c>
      <c r="F52" s="17">
        <v>61542621</v>
      </c>
      <c r="G52" s="17">
        <v>38515081</v>
      </c>
      <c r="H52" s="17">
        <v>15795971</v>
      </c>
      <c r="I52" s="17">
        <v>13150397</v>
      </c>
      <c r="J52" s="17">
        <v>37833568</v>
      </c>
      <c r="K52" s="17">
        <v>4213758</v>
      </c>
      <c r="L52" s="17">
        <v>916400</v>
      </c>
      <c r="M52" s="18">
        <f t="shared" si="0"/>
        <v>-78.252191986345679</v>
      </c>
      <c r="N52" s="14">
        <f>Q52-K52</f>
        <v>3667746</v>
      </c>
      <c r="O52" s="14">
        <f>R52-L52</f>
        <v>1916379</v>
      </c>
      <c r="P52" s="18">
        <f t="shared" si="1"/>
        <v>-47.750498535067585</v>
      </c>
      <c r="Q52" s="17">
        <v>7881504</v>
      </c>
      <c r="R52" s="17">
        <v>2832779</v>
      </c>
      <c r="S52" s="18">
        <f t="shared" si="2"/>
        <v>-64.057887936109665</v>
      </c>
      <c r="T52" s="14">
        <f>W52-Q52</f>
        <v>2428423</v>
      </c>
      <c r="U52" s="14">
        <f>X52-R52</f>
        <v>2036208</v>
      </c>
      <c r="V52" s="18">
        <f t="shared" si="317"/>
        <v>-16.15101652389226</v>
      </c>
      <c r="W52" s="17">
        <v>10309927</v>
      </c>
      <c r="X52" s="17">
        <v>4868987</v>
      </c>
      <c r="Y52" s="18">
        <f t="shared" si="318"/>
        <v>-52.773797525433494</v>
      </c>
      <c r="Z52" s="14">
        <f>AC52-W52</f>
        <v>3764982</v>
      </c>
      <c r="AA52" s="14">
        <f>AD52-X52</f>
        <v>638877</v>
      </c>
      <c r="AB52" s="18">
        <f t="shared" si="319"/>
        <v>-83.031074252147818</v>
      </c>
      <c r="AC52" s="17">
        <v>14074909</v>
      </c>
      <c r="AD52" s="17">
        <v>5507864</v>
      </c>
      <c r="AE52" s="18">
        <f t="shared" si="320"/>
        <v>-60.867498326276923</v>
      </c>
      <c r="AF52" s="14">
        <f>AI52-AC52</f>
        <v>2565935</v>
      </c>
      <c r="AG52" s="14">
        <f>AJ52-AD52</f>
        <v>4072248</v>
      </c>
      <c r="AH52" s="18">
        <f t="shared" si="321"/>
        <v>58.704254004875423</v>
      </c>
      <c r="AI52" s="17">
        <v>16640844</v>
      </c>
      <c r="AJ52" s="17">
        <v>9580112</v>
      </c>
      <c r="AK52" s="18">
        <f t="shared" si="322"/>
        <v>-42.430131548616167</v>
      </c>
      <c r="AL52" s="14">
        <f>AO52-AI52</f>
        <v>2783084</v>
      </c>
      <c r="AM52" s="14">
        <f>AP52-AJ52</f>
        <v>2418934</v>
      </c>
      <c r="AN52" s="18">
        <f t="shared" si="323"/>
        <v>-13.084405644960773</v>
      </c>
      <c r="AO52" s="17">
        <v>19423928</v>
      </c>
      <c r="AP52" s="17">
        <v>11999046</v>
      </c>
      <c r="AQ52" s="18">
        <f t="shared" si="324"/>
        <v>-38.225440291994495</v>
      </c>
      <c r="AR52" s="14">
        <f>AU52-AO52</f>
        <v>6305690</v>
      </c>
      <c r="AS52" s="14">
        <f>AV52-AP52</f>
        <v>2063779</v>
      </c>
      <c r="AT52" s="18">
        <f t="shared" si="325"/>
        <v>-67.271163028946873</v>
      </c>
      <c r="AU52" s="17">
        <v>25729618</v>
      </c>
      <c r="AV52" s="17">
        <v>14062825</v>
      </c>
      <c r="AW52" s="18">
        <f t="shared" si="326"/>
        <v>-45.343825159005469</v>
      </c>
      <c r="AX52" s="14">
        <f>BA52-AU52</f>
        <v>3147551</v>
      </c>
      <c r="AY52" s="14">
        <f>BB52-AV52</f>
        <v>5506618</v>
      </c>
      <c r="AZ52" s="18">
        <f t="shared" si="327"/>
        <v>74.94928596867851</v>
      </c>
      <c r="BA52" s="17">
        <v>28877169</v>
      </c>
      <c r="BB52" s="17">
        <v>19569443</v>
      </c>
      <c r="BC52" s="18">
        <f t="shared" si="328"/>
        <v>-32.232127740776804</v>
      </c>
      <c r="BD52" s="14">
        <f>BG52-BA52</f>
        <v>3802774</v>
      </c>
      <c r="BE52" s="14">
        <f>BH52-BB52</f>
        <v>5631209</v>
      </c>
      <c r="BF52" s="18">
        <f t="shared" si="329"/>
        <v>48.081610950322059</v>
      </c>
      <c r="BG52" s="17">
        <v>32679943</v>
      </c>
      <c r="BH52" s="17">
        <v>25200652</v>
      </c>
      <c r="BI52" s="18">
        <f t="shared" si="330"/>
        <v>-22.886487286712832</v>
      </c>
      <c r="BJ52" s="14">
        <f>BM52-BG52</f>
        <v>1987791</v>
      </c>
      <c r="BK52" s="14">
        <f>BN52-BH52</f>
        <v>3725109</v>
      </c>
      <c r="BL52" s="18">
        <f t="shared" si="331"/>
        <v>87.399429819332113</v>
      </c>
      <c r="BM52" s="17">
        <v>34667734</v>
      </c>
      <c r="BN52" s="17">
        <v>28925761</v>
      </c>
      <c r="BO52" s="18">
        <f t="shared" si="332"/>
        <v>-16.562873708446013</v>
      </c>
      <c r="BP52" s="14">
        <f>BS52-BM52</f>
        <v>1685426</v>
      </c>
      <c r="BQ52" s="14">
        <f>BT52-BN52</f>
        <v>4568106</v>
      </c>
      <c r="BR52" s="18">
        <f t="shared" si="333"/>
        <v>171.03569067998242</v>
      </c>
      <c r="BS52" s="17">
        <v>36353160</v>
      </c>
      <c r="BT52" s="17">
        <v>33493867</v>
      </c>
      <c r="BU52" s="18">
        <f t="shared" si="334"/>
        <v>-7.8653217491959415</v>
      </c>
      <c r="BV52" s="14">
        <f>BY52-BS52</f>
        <v>1480408</v>
      </c>
      <c r="BW52" s="14">
        <f>BZ52-BT52</f>
        <v>6535021</v>
      </c>
      <c r="BX52" s="18">
        <f t="shared" si="335"/>
        <v>341.43378041729039</v>
      </c>
      <c r="BY52" s="17">
        <v>37833568</v>
      </c>
      <c r="BZ52" s="17">
        <v>40028888</v>
      </c>
      <c r="CA52" s="18">
        <f t="shared" si="336"/>
        <v>5.802571938232215</v>
      </c>
      <c r="CB52" s="6"/>
    </row>
    <row r="53" spans="1:80" s="1" customFormat="1" ht="19.5" customHeight="1" thickBot="1">
      <c r="A53" s="166"/>
      <c r="B53" s="168"/>
      <c r="C53" s="34" t="s">
        <v>105</v>
      </c>
      <c r="D53" s="19">
        <f t="shared" ref="D53:L53" si="337">D52/D51</f>
        <v>10.280621863432348</v>
      </c>
      <c r="E53" s="19">
        <f t="shared" si="337"/>
        <v>11.122579607964028</v>
      </c>
      <c r="F53" s="19">
        <f t="shared" si="337"/>
        <v>10.900944147350966</v>
      </c>
      <c r="G53" s="19">
        <f t="shared" si="337"/>
        <v>10.149409588358838</v>
      </c>
      <c r="H53" s="20">
        <f>H52/H51</f>
        <v>12.003920507697767</v>
      </c>
      <c r="I53" s="20">
        <f>I52/I51</f>
        <v>11.67510711476417</v>
      </c>
      <c r="J53" s="20">
        <f>J52/J51</f>
        <v>8.4602685518562417</v>
      </c>
      <c r="K53" s="20">
        <f t="shared" si="337"/>
        <v>10.653393404326325</v>
      </c>
      <c r="L53" s="20">
        <f t="shared" si="337"/>
        <v>5.364711392108652</v>
      </c>
      <c r="M53" s="47"/>
      <c r="N53" s="20">
        <f>N52/N51</f>
        <v>10.51255402818064</v>
      </c>
      <c r="O53" s="20">
        <f>O52/O51</f>
        <v>5.2694099208095029</v>
      </c>
      <c r="P53" s="47"/>
      <c r="Q53" s="20">
        <f>Q52/Q51</f>
        <v>10.587385683427724</v>
      </c>
      <c r="R53" s="20">
        <f>R52/R51</f>
        <v>5.2998671655753045</v>
      </c>
      <c r="S53" s="47"/>
      <c r="T53" s="20">
        <f>T52/T51</f>
        <v>9.545762938387881</v>
      </c>
      <c r="U53" s="20">
        <f>U52/U51</f>
        <v>5.9262725923338859</v>
      </c>
      <c r="V53" s="47"/>
      <c r="W53" s="20">
        <f>W52/W51</f>
        <v>10.322086417800168</v>
      </c>
      <c r="X53" s="20">
        <f>X52/X51</f>
        <v>5.544974888678837</v>
      </c>
      <c r="Y53" s="47"/>
      <c r="Z53" s="20">
        <f>Z52/Z51</f>
        <v>9.6085903505301982</v>
      </c>
      <c r="AA53" s="20">
        <f>AA52/AA51</f>
        <v>6.2625790324952213</v>
      </c>
      <c r="AB53" s="47"/>
      <c r="AC53" s="20">
        <f>AC52/AC51</f>
        <v>10.121049978535325</v>
      </c>
      <c r="AD53" s="20">
        <f>AD52/AD51</f>
        <v>5.619667280546472</v>
      </c>
      <c r="AE53" s="47"/>
      <c r="AF53" s="20">
        <f>AF52/AF51</f>
        <v>8.4804673298740791</v>
      </c>
      <c r="AG53" s="20">
        <f>AG52/AG51</f>
        <v>6.4563021213178171</v>
      </c>
      <c r="AH53" s="47"/>
      <c r="AI53" s="20">
        <f>AI52/AI51</f>
        <v>9.8278872236268384</v>
      </c>
      <c r="AJ53" s="20">
        <f>AJ52/AJ51</f>
        <v>5.947258736874125</v>
      </c>
      <c r="AK53" s="47"/>
      <c r="AL53" s="20">
        <f>AL52/AL51</f>
        <v>8.5757636451596007</v>
      </c>
      <c r="AM53" s="20">
        <f>AM52/AM51</f>
        <v>7.7478531871482703</v>
      </c>
      <c r="AN53" s="47"/>
      <c r="AO53" s="20">
        <f>AO52/AO51</f>
        <v>9.6264999335895922</v>
      </c>
      <c r="AP53" s="20">
        <f>AP52/AP51</f>
        <v>6.2395847850188142</v>
      </c>
      <c r="AQ53" s="47"/>
      <c r="AR53" s="20">
        <f>AR52/AR51</f>
        <v>8.4424709566595837</v>
      </c>
      <c r="AS53" s="20">
        <f>AS52/AS51</f>
        <v>5.5582371175946204</v>
      </c>
      <c r="AT53" s="47"/>
      <c r="AU53" s="20">
        <f>AU52/AU51</f>
        <v>9.3066221234677577</v>
      </c>
      <c r="AV53" s="20">
        <f>AV52/AV51</f>
        <v>6.1293205535503912</v>
      </c>
      <c r="AW53" s="47"/>
      <c r="AX53" s="20">
        <f>AX52/AX51</f>
        <v>8.4344043089125886</v>
      </c>
      <c r="AY53" s="20">
        <f>AY52/AY51</f>
        <v>7.9621428571428572</v>
      </c>
      <c r="AZ53" s="47"/>
      <c r="BA53" s="20">
        <f>BA52/BA51</f>
        <v>9.2028900800137166</v>
      </c>
      <c r="BB53" s="20">
        <f>BB52/BB51</f>
        <v>6.5538349063096435</v>
      </c>
      <c r="BC53" s="47"/>
      <c r="BD53" s="20">
        <f>BD52/BD51</f>
        <v>7.8637299827951299</v>
      </c>
      <c r="BE53" s="20">
        <f>BE52/BE51</f>
        <v>5.0733349429980485</v>
      </c>
      <c r="BF53" s="47"/>
      <c r="BG53" s="20">
        <f>BG52/BG51</f>
        <v>9.024066243609898</v>
      </c>
      <c r="BH53" s="20">
        <f>BH52/BH51</f>
        <v>6.1526306087894893</v>
      </c>
      <c r="BI53" s="47"/>
      <c r="BJ53" s="20">
        <f>BJ52/BJ51</f>
        <v>6.905408879316334</v>
      </c>
      <c r="BK53" s="20">
        <f>BK52/BK51</f>
        <v>7.2826158781795751</v>
      </c>
      <c r="BL53" s="47"/>
      <c r="BM53" s="20">
        <f>BM52/BM51</f>
        <v>8.8680588578820512</v>
      </c>
      <c r="BN53" s="20">
        <f>BN52/BN51</f>
        <v>6.2780793684624507</v>
      </c>
      <c r="BO53" s="47"/>
      <c r="BP53" s="20">
        <f>BP52/BP51</f>
        <v>5.9857939915687339</v>
      </c>
      <c r="BQ53" s="20">
        <f>BQ52/BQ51</f>
        <v>7.9524985028480701</v>
      </c>
      <c r="BR53" s="47"/>
      <c r="BS53" s="20">
        <f>BS52/BS51</f>
        <v>8.6744079724122916</v>
      </c>
      <c r="BT53" s="20">
        <f>BT52/BT51</f>
        <v>6.4636940194671935</v>
      </c>
      <c r="BU53" s="47"/>
      <c r="BV53" s="20">
        <f>BV52/BV51</f>
        <v>5.2672499368460004</v>
      </c>
      <c r="BW53" s="20">
        <f>BW52/BW51</f>
        <v>8.4728015516780886</v>
      </c>
      <c r="BX53" s="47"/>
      <c r="BY53" s="20">
        <f>BY52/BY51</f>
        <v>8.4602685518562417</v>
      </c>
      <c r="BZ53" s="20">
        <f>BZ52/BZ51</f>
        <v>6.7239957400632271</v>
      </c>
      <c r="CA53" s="47"/>
      <c r="CB53" s="6"/>
    </row>
    <row r="54" spans="1:80" s="1" customFormat="1" ht="19.5" customHeight="1">
      <c r="A54" s="164" t="s">
        <v>122</v>
      </c>
      <c r="B54" s="133" t="s">
        <v>35</v>
      </c>
      <c r="C54" s="32" t="s">
        <v>42</v>
      </c>
      <c r="D54" s="22">
        <v>209918</v>
      </c>
      <c r="E54" s="22">
        <v>252712</v>
      </c>
      <c r="F54" s="22">
        <v>238922</v>
      </c>
      <c r="G54" s="22">
        <v>322131</v>
      </c>
      <c r="H54" s="22">
        <v>306852</v>
      </c>
      <c r="I54" s="22">
        <v>275976</v>
      </c>
      <c r="J54" s="22">
        <v>210704</v>
      </c>
      <c r="K54" s="22">
        <v>16490</v>
      </c>
      <c r="L54" s="22">
        <v>10292</v>
      </c>
      <c r="M54" s="15">
        <f t="shared" si="0"/>
        <v>-37.586416009702852</v>
      </c>
      <c r="N54" s="23">
        <f>Q54-K54</f>
        <v>17023</v>
      </c>
      <c r="O54" s="22">
        <f>R54-L54</f>
        <v>26476</v>
      </c>
      <c r="P54" s="15">
        <f t="shared" si="1"/>
        <v>55.530752511308236</v>
      </c>
      <c r="Q54" s="22">
        <v>33513</v>
      </c>
      <c r="R54" s="22">
        <v>36768</v>
      </c>
      <c r="S54" s="15">
        <f t="shared" si="2"/>
        <v>9.7126488228448604</v>
      </c>
      <c r="T54" s="23">
        <f>W54-Q54</f>
        <v>17403</v>
      </c>
      <c r="U54" s="22">
        <f>X54-R54</f>
        <v>27932</v>
      </c>
      <c r="V54" s="15">
        <f t="shared" ref="V54:V55" si="338">(U54/T54-1)*100</f>
        <v>60.501063035108892</v>
      </c>
      <c r="W54" s="22">
        <v>50916</v>
      </c>
      <c r="X54" s="22">
        <v>64700</v>
      </c>
      <c r="Y54" s="15">
        <f t="shared" ref="Y54:Y55" si="339">(X54/W54-1)*100</f>
        <v>27.07204022311258</v>
      </c>
      <c r="Z54" s="23">
        <f>AC54-W54</f>
        <v>17305</v>
      </c>
      <c r="AA54" s="22">
        <f>AD54-X54</f>
        <v>22004</v>
      </c>
      <c r="AB54" s="15">
        <f t="shared" ref="AB54:AB55" si="340">(AA54/Z54-1)*100</f>
        <v>27.154001733603007</v>
      </c>
      <c r="AC54" s="22">
        <v>68221</v>
      </c>
      <c r="AD54" s="22">
        <v>86704</v>
      </c>
      <c r="AE54" s="15">
        <f t="shared" ref="AE54:AE55" si="341">(AD54/AC54-1)*100</f>
        <v>27.09283065331789</v>
      </c>
      <c r="AF54" s="23">
        <f>AI54-AC54</f>
        <v>16191</v>
      </c>
      <c r="AG54" s="22">
        <f>AJ54-AD54</f>
        <v>15803</v>
      </c>
      <c r="AH54" s="15">
        <f t="shared" ref="AH54:AH55" si="342">(AG54/AF54-1)*100</f>
        <v>-2.3963930578716597</v>
      </c>
      <c r="AI54" s="22">
        <v>84412</v>
      </c>
      <c r="AJ54" s="22">
        <v>102507</v>
      </c>
      <c r="AK54" s="15">
        <f t="shared" ref="AK54:AK55" si="343">(AJ54/AI54-1)*100</f>
        <v>21.436525612472156</v>
      </c>
      <c r="AL54" s="23">
        <f>AO54-AI54</f>
        <v>22483</v>
      </c>
      <c r="AM54" s="22">
        <f>AP54-AJ54</f>
        <v>27784</v>
      </c>
      <c r="AN54" s="15">
        <f t="shared" ref="AN54:AN55" si="344">(AM54/AL54-1)*100</f>
        <v>23.577814348618965</v>
      </c>
      <c r="AO54" s="22">
        <v>106895</v>
      </c>
      <c r="AP54" s="22">
        <v>130291</v>
      </c>
      <c r="AQ54" s="15">
        <f t="shared" ref="AQ54:AQ55" si="345">(AP54/AO54-1)*100</f>
        <v>21.886898358201968</v>
      </c>
      <c r="AR54" s="23">
        <f>AU54-AO54</f>
        <v>4865</v>
      </c>
      <c r="AS54" s="22">
        <f>AV54-AP54</f>
        <v>22275</v>
      </c>
      <c r="AT54" s="15">
        <f t="shared" ref="AT54:AT55" si="346">(AS54/AR54-1)*100</f>
        <v>357.86228160328875</v>
      </c>
      <c r="AU54" s="22">
        <v>111760</v>
      </c>
      <c r="AV54" s="22">
        <v>152566</v>
      </c>
      <c r="AW54" s="15">
        <f t="shared" ref="AW54:AW55" si="347">(AV54/AU54-1)*100</f>
        <v>36.512168933428768</v>
      </c>
      <c r="AX54" s="23">
        <f>BA54-AU54</f>
        <v>21007</v>
      </c>
      <c r="AY54" s="22">
        <f>BB54-AV54</f>
        <v>23068</v>
      </c>
      <c r="AZ54" s="15">
        <f t="shared" ref="AZ54:AZ55" si="348">(AY54/AX54-1)*100</f>
        <v>9.8110153758271146</v>
      </c>
      <c r="BA54" s="22">
        <v>132767</v>
      </c>
      <c r="BB54" s="22">
        <v>175634</v>
      </c>
      <c r="BC54" s="15">
        <f t="shared" ref="BC54:BC55" si="349">(BB54/BA54-1)*100</f>
        <v>32.287390691964113</v>
      </c>
      <c r="BD54" s="23">
        <f>BG54-BA54</f>
        <v>9507</v>
      </c>
      <c r="BE54" s="22">
        <f>BH54-BB54</f>
        <v>18201</v>
      </c>
      <c r="BF54" s="15">
        <f t="shared" ref="BF54:BF55" si="350">(BE54/BD54-1)*100</f>
        <v>91.448406437361939</v>
      </c>
      <c r="BG54" s="22">
        <v>142274</v>
      </c>
      <c r="BH54" s="22">
        <v>193835</v>
      </c>
      <c r="BI54" s="15">
        <f t="shared" ref="BI54:BI55" si="351">(BH54/BG54-1)*100</f>
        <v>36.240634269086414</v>
      </c>
      <c r="BJ54" s="23">
        <f>BM54-BG54</f>
        <v>16527</v>
      </c>
      <c r="BK54" s="22">
        <f>BN54-BH54</f>
        <v>13565</v>
      </c>
      <c r="BL54" s="15">
        <f t="shared" ref="BL54:BL55" si="352">(BK54/BJ54-1)*100</f>
        <v>-17.922187934894417</v>
      </c>
      <c r="BM54" s="22">
        <v>158801</v>
      </c>
      <c r="BN54" s="22">
        <v>207400</v>
      </c>
      <c r="BO54" s="15">
        <f t="shared" ref="BO54:BO55" si="353">(BN54/BM54-1)*100</f>
        <v>30.603711563529188</v>
      </c>
      <c r="BP54" s="23">
        <f>BS54-BM54</f>
        <v>22182</v>
      </c>
      <c r="BQ54" s="22">
        <f>BT54-BN54</f>
        <v>27564</v>
      </c>
      <c r="BR54" s="15">
        <f t="shared" ref="BR54:BR55" si="354">(BQ54/BP54-1)*100</f>
        <v>24.262915877738699</v>
      </c>
      <c r="BS54" s="22">
        <v>180983</v>
      </c>
      <c r="BT54" s="22">
        <v>234964</v>
      </c>
      <c r="BU54" s="15">
        <f t="shared" ref="BU54:BU55" si="355">(BT54/BS54-1)*100</f>
        <v>29.826558295530514</v>
      </c>
      <c r="BV54" s="23">
        <f>BY54-BS54</f>
        <v>29721</v>
      </c>
      <c r="BW54" s="22">
        <f>BZ54-BT54</f>
        <v>26363</v>
      </c>
      <c r="BX54" s="15">
        <f t="shared" ref="BX54:BX55" si="356">(BW54/BV54-1)*100</f>
        <v>-11.29840853268732</v>
      </c>
      <c r="BY54" s="22">
        <v>210704</v>
      </c>
      <c r="BZ54" s="22">
        <v>261327</v>
      </c>
      <c r="CA54" s="15">
        <f t="shared" ref="CA54:CA55" si="357">(BZ54/BY54-1)*100</f>
        <v>24.025647353633527</v>
      </c>
      <c r="CB54" s="6"/>
    </row>
    <row r="55" spans="1:80" s="1" customFormat="1" ht="19.5" customHeight="1">
      <c r="A55" s="154"/>
      <c r="B55" s="167"/>
      <c r="C55" s="33" t="s">
        <v>104</v>
      </c>
      <c r="D55" s="17">
        <v>3358245</v>
      </c>
      <c r="E55" s="17">
        <v>5920749</v>
      </c>
      <c r="F55" s="17">
        <v>6219866</v>
      </c>
      <c r="G55" s="17">
        <v>6718098</v>
      </c>
      <c r="H55" s="17">
        <v>5849608</v>
      </c>
      <c r="I55" s="17">
        <v>4645257</v>
      </c>
      <c r="J55" s="17">
        <v>2907365</v>
      </c>
      <c r="K55" s="17">
        <v>261808</v>
      </c>
      <c r="L55" s="17">
        <v>99234</v>
      </c>
      <c r="M55" s="18">
        <f t="shared" si="0"/>
        <v>-62.096650980871473</v>
      </c>
      <c r="N55" s="14">
        <f>Q55-K55</f>
        <v>252400</v>
      </c>
      <c r="O55" s="14">
        <f>R55-L55</f>
        <v>311534</v>
      </c>
      <c r="P55" s="18">
        <f t="shared" si="1"/>
        <v>23.428684627575279</v>
      </c>
      <c r="Q55" s="17">
        <v>514208</v>
      </c>
      <c r="R55" s="17">
        <v>410768</v>
      </c>
      <c r="S55" s="18">
        <f t="shared" si="2"/>
        <v>-20.11637314083017</v>
      </c>
      <c r="T55" s="14">
        <f>W55-Q55</f>
        <v>267106</v>
      </c>
      <c r="U55" s="14">
        <f>X55-R55</f>
        <v>304128</v>
      </c>
      <c r="V55" s="18">
        <f t="shared" si="338"/>
        <v>13.86041496634296</v>
      </c>
      <c r="W55" s="17">
        <v>781314</v>
      </c>
      <c r="X55" s="17">
        <v>714896</v>
      </c>
      <c r="Y55" s="18">
        <f t="shared" si="339"/>
        <v>-8.5008076138402782</v>
      </c>
      <c r="Z55" s="14">
        <f>AC55-W55</f>
        <v>258621</v>
      </c>
      <c r="AA55" s="14">
        <f>AD55-X55</f>
        <v>254422</v>
      </c>
      <c r="AB55" s="18">
        <f t="shared" si="340"/>
        <v>-1.6236113849996681</v>
      </c>
      <c r="AC55" s="17">
        <v>1039935</v>
      </c>
      <c r="AD55" s="17">
        <v>969318</v>
      </c>
      <c r="AE55" s="18">
        <f t="shared" si="341"/>
        <v>-6.7905205613812409</v>
      </c>
      <c r="AF55" s="14">
        <f>AI55-AC55</f>
        <v>207755</v>
      </c>
      <c r="AG55" s="14">
        <f>AJ55-AD55</f>
        <v>161309</v>
      </c>
      <c r="AH55" s="18">
        <f t="shared" si="342"/>
        <v>-22.356140646434497</v>
      </c>
      <c r="AI55" s="17">
        <v>1247690</v>
      </c>
      <c r="AJ55" s="17">
        <v>1130627</v>
      </c>
      <c r="AK55" s="18">
        <f t="shared" si="343"/>
        <v>-9.3823786357188137</v>
      </c>
      <c r="AL55" s="14">
        <f>AO55-AI55</f>
        <v>334181</v>
      </c>
      <c r="AM55" s="14">
        <f>AP55-AJ55</f>
        <v>288904</v>
      </c>
      <c r="AN55" s="18">
        <f t="shared" si="344"/>
        <v>-13.548645793746505</v>
      </c>
      <c r="AO55" s="17">
        <v>1581871</v>
      </c>
      <c r="AP55" s="17">
        <v>1419531</v>
      </c>
      <c r="AQ55" s="18">
        <f t="shared" si="345"/>
        <v>-10.262530889054799</v>
      </c>
      <c r="AR55" s="14">
        <f>AU55-AO55</f>
        <v>83201</v>
      </c>
      <c r="AS55" s="14">
        <f>AV55-AP55</f>
        <v>241557</v>
      </c>
      <c r="AT55" s="18">
        <f t="shared" si="346"/>
        <v>190.32944315573127</v>
      </c>
      <c r="AU55" s="17">
        <v>1665072</v>
      </c>
      <c r="AV55" s="17">
        <v>1661088</v>
      </c>
      <c r="AW55" s="18">
        <f t="shared" si="347"/>
        <v>-0.23926893251462467</v>
      </c>
      <c r="AX55" s="14">
        <f>BA55-AU55</f>
        <v>259326</v>
      </c>
      <c r="AY55" s="14">
        <f>BB55-AV55</f>
        <v>277041</v>
      </c>
      <c r="AZ55" s="18">
        <f t="shared" si="348"/>
        <v>6.8311700330857761</v>
      </c>
      <c r="BA55" s="17">
        <v>1924398</v>
      </c>
      <c r="BB55" s="17">
        <v>1938129</v>
      </c>
      <c r="BC55" s="18">
        <f t="shared" si="349"/>
        <v>0.71352183903745647</v>
      </c>
      <c r="BD55" s="14">
        <f>BG55-BA55</f>
        <v>126845</v>
      </c>
      <c r="BE55" s="14">
        <f>BH55-BB55</f>
        <v>227783</v>
      </c>
      <c r="BF55" s="18">
        <f t="shared" si="350"/>
        <v>79.575860301943322</v>
      </c>
      <c r="BG55" s="17">
        <v>2051243</v>
      </c>
      <c r="BH55" s="17">
        <v>2165912</v>
      </c>
      <c r="BI55" s="18">
        <f t="shared" si="351"/>
        <v>5.5902201738165624</v>
      </c>
      <c r="BJ55" s="14">
        <f>BM55-BG55</f>
        <v>209422</v>
      </c>
      <c r="BK55" s="14">
        <f>BN55-BH55</f>
        <v>169303</v>
      </c>
      <c r="BL55" s="18">
        <f t="shared" si="352"/>
        <v>-19.157013112280463</v>
      </c>
      <c r="BM55" s="17">
        <v>2260665</v>
      </c>
      <c r="BN55" s="17">
        <v>2335215</v>
      </c>
      <c r="BO55" s="18">
        <f t="shared" si="353"/>
        <v>3.2977022247878462</v>
      </c>
      <c r="BP55" s="14">
        <f>BS55-BM55</f>
        <v>292758</v>
      </c>
      <c r="BQ55" s="14">
        <f>BT55-BN55</f>
        <v>336047</v>
      </c>
      <c r="BR55" s="18">
        <f t="shared" si="354"/>
        <v>14.786615566440542</v>
      </c>
      <c r="BS55" s="17">
        <v>2553423</v>
      </c>
      <c r="BT55" s="17">
        <v>2671262</v>
      </c>
      <c r="BU55" s="18">
        <f t="shared" si="355"/>
        <v>4.6149423734336281</v>
      </c>
      <c r="BV55" s="14">
        <f>BY55-BS55</f>
        <v>353942</v>
      </c>
      <c r="BW55" s="14">
        <f>BZ55-BT55</f>
        <v>328087</v>
      </c>
      <c r="BX55" s="18">
        <f t="shared" si="356"/>
        <v>-7.3048691593537889</v>
      </c>
      <c r="BY55" s="17">
        <v>2907365</v>
      </c>
      <c r="BZ55" s="17">
        <v>2999349</v>
      </c>
      <c r="CA55" s="18">
        <f t="shared" si="357"/>
        <v>3.163827039260636</v>
      </c>
      <c r="CB55" s="6"/>
    </row>
    <row r="56" spans="1:80" s="1" customFormat="1" ht="19.5" customHeight="1" thickBot="1">
      <c r="A56" s="155"/>
      <c r="B56" s="168"/>
      <c r="C56" s="34" t="s">
        <v>105</v>
      </c>
      <c r="D56" s="19">
        <f t="shared" ref="D56:L56" si="358">D55/D54</f>
        <v>15.997889652149887</v>
      </c>
      <c r="E56" s="19">
        <f t="shared" si="358"/>
        <v>23.428839944284402</v>
      </c>
      <c r="F56" s="19">
        <f t="shared" si="358"/>
        <v>26.033040071655183</v>
      </c>
      <c r="G56" s="19">
        <f t="shared" si="358"/>
        <v>20.855173826797174</v>
      </c>
      <c r="H56" s="20">
        <f>H55/H54</f>
        <v>19.063287839088552</v>
      </c>
      <c r="I56" s="20">
        <f>I55/I54</f>
        <v>16.832104965649187</v>
      </c>
      <c r="J56" s="20">
        <f>J55/J54</f>
        <v>13.798337952767865</v>
      </c>
      <c r="K56" s="20">
        <f t="shared" si="358"/>
        <v>15.876773802304427</v>
      </c>
      <c r="L56" s="20">
        <f t="shared" si="358"/>
        <v>9.6418577535950245</v>
      </c>
      <c r="M56" s="47"/>
      <c r="N56" s="20">
        <f>N55/N54</f>
        <v>14.826998766374905</v>
      </c>
      <c r="O56" s="20">
        <f>O55/O54</f>
        <v>11.76665659465176</v>
      </c>
      <c r="P56" s="47"/>
      <c r="Q56" s="20">
        <f>Q55/Q54</f>
        <v>15.343538328409871</v>
      </c>
      <c r="R56" s="20">
        <f>R55/R54</f>
        <v>11.17188859878155</v>
      </c>
      <c r="S56" s="47"/>
      <c r="T56" s="20">
        <f>T55/T54</f>
        <v>15.34827328621502</v>
      </c>
      <c r="U56" s="20">
        <f>U55/U54</f>
        <v>10.88815695259917</v>
      </c>
      <c r="V56" s="47"/>
      <c r="W56" s="20">
        <f>W55/W54</f>
        <v>15.345156728729673</v>
      </c>
      <c r="X56" s="20">
        <f>X55/X54</f>
        <v>11.049397217928902</v>
      </c>
      <c r="Y56" s="47"/>
      <c r="Z56" s="20">
        <f>Z55/Z54</f>
        <v>14.944871424443802</v>
      </c>
      <c r="AA56" s="20">
        <f>AA55/AA54</f>
        <v>11.562534084711871</v>
      </c>
      <c r="AB56" s="47"/>
      <c r="AC56" s="20">
        <f>AC55/AC54</f>
        <v>15.243619999706835</v>
      </c>
      <c r="AD56" s="20">
        <f>AD55/AD54</f>
        <v>11.179622624100388</v>
      </c>
      <c r="AE56" s="47"/>
      <c r="AF56" s="20">
        <f>AF55/AF54</f>
        <v>12.831511333456859</v>
      </c>
      <c r="AG56" s="20">
        <f>AG55/AG54</f>
        <v>10.207492248307284</v>
      </c>
      <c r="AH56" s="47"/>
      <c r="AI56" s="20">
        <f>AI55/AI54</f>
        <v>14.780955314410273</v>
      </c>
      <c r="AJ56" s="20">
        <f>AJ55/AJ54</f>
        <v>11.029754065576009</v>
      </c>
      <c r="AK56" s="47"/>
      <c r="AL56" s="20">
        <f>AL55/AL54</f>
        <v>14.863719254547881</v>
      </c>
      <c r="AM56" s="20">
        <f>AM55/AM54</f>
        <v>10.398214799884826</v>
      </c>
      <c r="AN56" s="47"/>
      <c r="AO56" s="20">
        <f>AO55/AO54</f>
        <v>14.798362879461154</v>
      </c>
      <c r="AP56" s="20">
        <f>AP55/AP54</f>
        <v>10.895081010967758</v>
      </c>
      <c r="AQ56" s="47"/>
      <c r="AR56" s="20">
        <f>AR55/AR54</f>
        <v>17.101952723535458</v>
      </c>
      <c r="AS56" s="20">
        <f>AS55/AS54</f>
        <v>10.844309764309765</v>
      </c>
      <c r="AT56" s="47"/>
      <c r="AU56" s="20">
        <f>AU55/AU54</f>
        <v>14.89863994273443</v>
      </c>
      <c r="AV56" s="20">
        <f>AV55/AV54</f>
        <v>10.887668287822976</v>
      </c>
      <c r="AW56" s="47"/>
      <c r="AX56" s="20">
        <f>AX55/AX54</f>
        <v>12.344742228780882</v>
      </c>
      <c r="AY56" s="20">
        <f>AY55/AY54</f>
        <v>12.009753771458298</v>
      </c>
      <c r="AZ56" s="47"/>
      <c r="BA56" s="20">
        <f>BA55/BA54</f>
        <v>14.49455060368917</v>
      </c>
      <c r="BB56" s="20">
        <f>BB55/BB54</f>
        <v>11.03504446747213</v>
      </c>
      <c r="BC56" s="47"/>
      <c r="BD56" s="20">
        <f>BD55/BD54</f>
        <v>13.342274113810877</v>
      </c>
      <c r="BE56" s="20">
        <f>BE55/BE54</f>
        <v>12.514861820779078</v>
      </c>
      <c r="BF56" s="47"/>
      <c r="BG56" s="20">
        <f>BG55/BG54</f>
        <v>14.417553453195946</v>
      </c>
      <c r="BH56" s="20">
        <f>BH55/BH54</f>
        <v>11.173998503882167</v>
      </c>
      <c r="BI56" s="47"/>
      <c r="BJ56" s="20">
        <f>BJ55/BJ54</f>
        <v>12.671507230592365</v>
      </c>
      <c r="BK56" s="20">
        <f>BK55/BK54</f>
        <v>12.480869885735348</v>
      </c>
      <c r="BL56" s="47"/>
      <c r="BM56" s="20">
        <f>BM55/BM54</f>
        <v>14.235836046372503</v>
      </c>
      <c r="BN56" s="20">
        <f>BN55/BN54</f>
        <v>11.259474445515911</v>
      </c>
      <c r="BO56" s="47"/>
      <c r="BP56" s="20">
        <f>BP55/BP54</f>
        <v>13.197998377062483</v>
      </c>
      <c r="BQ56" s="20">
        <f>BQ55/BQ54</f>
        <v>12.191517921927151</v>
      </c>
      <c r="BR56" s="47"/>
      <c r="BS56" s="20">
        <f>BS55/BS54</f>
        <v>14.108634512633783</v>
      </c>
      <c r="BT56" s="20">
        <f>BT55/BT54</f>
        <v>11.36881394596619</v>
      </c>
      <c r="BU56" s="47"/>
      <c r="BV56" s="20">
        <f>BV55/BV54</f>
        <v>11.908818680394335</v>
      </c>
      <c r="BW56" s="20">
        <f>BW55/BW54</f>
        <v>12.444979706406706</v>
      </c>
      <c r="BX56" s="47"/>
      <c r="BY56" s="20">
        <f>BY55/BY54</f>
        <v>13.798337952767865</v>
      </c>
      <c r="BZ56" s="20">
        <f>BZ55/BZ54</f>
        <v>11.47737891607067</v>
      </c>
      <c r="CA56" s="47"/>
      <c r="CB56" s="6"/>
    </row>
    <row r="57" spans="1:80" s="1" customFormat="1" ht="19.5" customHeight="1">
      <c r="A57" s="151" t="s">
        <v>123</v>
      </c>
      <c r="B57" s="133" t="s">
        <v>36</v>
      </c>
      <c r="C57" s="32" t="s">
        <v>42</v>
      </c>
      <c r="D57" s="22">
        <v>5695190</v>
      </c>
      <c r="E57" s="22">
        <v>6449900</v>
      </c>
      <c r="F57" s="22">
        <v>7127192</v>
      </c>
      <c r="G57" s="22">
        <v>6527109</v>
      </c>
      <c r="H57" s="22">
        <v>6257893</v>
      </c>
      <c r="I57" s="22">
        <v>6899715</v>
      </c>
      <c r="J57" s="22">
        <v>7042142</v>
      </c>
      <c r="K57" s="22">
        <v>474168</v>
      </c>
      <c r="L57" s="22">
        <v>478117</v>
      </c>
      <c r="M57" s="15">
        <f t="shared" si="0"/>
        <v>0.83282718361423758</v>
      </c>
      <c r="N57" s="23">
        <f>Q57-K57</f>
        <v>382091</v>
      </c>
      <c r="O57" s="22">
        <f>R57-L57</f>
        <v>517572</v>
      </c>
      <c r="P57" s="15">
        <f t="shared" si="1"/>
        <v>35.457783616991769</v>
      </c>
      <c r="Q57" s="22">
        <v>856259</v>
      </c>
      <c r="R57" s="22">
        <v>995689</v>
      </c>
      <c r="S57" s="15">
        <f t="shared" si="2"/>
        <v>16.283624464093215</v>
      </c>
      <c r="T57" s="23">
        <f>W57-Q57</f>
        <v>592792</v>
      </c>
      <c r="U57" s="22">
        <f>X57-R57</f>
        <v>504450</v>
      </c>
      <c r="V57" s="15">
        <f t="shared" ref="V57:V58" si="359">(U57/T57-1)*100</f>
        <v>-14.902697742209748</v>
      </c>
      <c r="W57" s="22">
        <v>1449051</v>
      </c>
      <c r="X57" s="22">
        <v>1500139</v>
      </c>
      <c r="Y57" s="15">
        <f t="shared" ref="Y57:Y58" si="360">(X57/W57-1)*100</f>
        <v>3.525617800891756</v>
      </c>
      <c r="Z57" s="23">
        <f>AC57-W57</f>
        <v>509547</v>
      </c>
      <c r="AA57" s="22">
        <f>AD57-X57</f>
        <v>614007</v>
      </c>
      <c r="AB57" s="15">
        <f t="shared" ref="AB57:AB58" si="361">(AA57/Z57-1)*100</f>
        <v>20.500562264128732</v>
      </c>
      <c r="AC57" s="22">
        <v>1958598</v>
      </c>
      <c r="AD57" s="22">
        <v>2114146</v>
      </c>
      <c r="AE57" s="15">
        <f t="shared" ref="AE57:AE58" si="362">(AD57/AC57-1)*100</f>
        <v>7.9418032694815288</v>
      </c>
      <c r="AF57" s="23">
        <f>AI57-AC57</f>
        <v>754611</v>
      </c>
      <c r="AG57" s="22">
        <f>AJ57-AD57</f>
        <v>500497</v>
      </c>
      <c r="AH57" s="15">
        <f t="shared" ref="AH57:AH58" si="363">(AG57/AF57-1)*100</f>
        <v>-33.674833788534755</v>
      </c>
      <c r="AI57" s="22">
        <v>2713209</v>
      </c>
      <c r="AJ57" s="22">
        <v>2614643</v>
      </c>
      <c r="AK57" s="15">
        <f t="shared" ref="AK57:AK58" si="364">(AJ57/AI57-1)*100</f>
        <v>-3.6328200297138902</v>
      </c>
      <c r="AL57" s="23">
        <f>AO57-AI57</f>
        <v>849642</v>
      </c>
      <c r="AM57" s="22">
        <f>AP57-AJ57</f>
        <v>539941</v>
      </c>
      <c r="AN57" s="15">
        <f t="shared" ref="AN57:AN58" si="365">(AM57/AL57-1)*100</f>
        <v>-36.450763968824518</v>
      </c>
      <c r="AO57" s="22">
        <v>3562851</v>
      </c>
      <c r="AP57" s="22">
        <v>3154584</v>
      </c>
      <c r="AQ57" s="15">
        <f t="shared" ref="AQ57:AQ58" si="366">(AP57/AO57-1)*100</f>
        <v>-11.458997303002572</v>
      </c>
      <c r="AR57" s="23">
        <f>AU57-AO57</f>
        <v>702146</v>
      </c>
      <c r="AS57" s="22">
        <f>AV57-AP57</f>
        <v>527843</v>
      </c>
      <c r="AT57" s="15">
        <f t="shared" ref="AT57:AT58" si="367">(AS57/AR57-1)*100</f>
        <v>-24.82432428583229</v>
      </c>
      <c r="AU57" s="22">
        <v>4264997</v>
      </c>
      <c r="AV57" s="22">
        <v>3682427</v>
      </c>
      <c r="AW57" s="15">
        <f t="shared" ref="AW57:AW58" si="368">(AV57/AU57-1)*100</f>
        <v>-13.659329654862596</v>
      </c>
      <c r="AX57" s="23">
        <f>BA57-AU57</f>
        <v>519725</v>
      </c>
      <c r="AY57" s="22">
        <f>BB57-AV57</f>
        <v>491204</v>
      </c>
      <c r="AZ57" s="15">
        <f t="shared" ref="AZ57:AZ58" si="369">(AY57/AX57-1)*100</f>
        <v>-5.4877098465534679</v>
      </c>
      <c r="BA57" s="22">
        <v>4784722</v>
      </c>
      <c r="BB57" s="22">
        <v>4173631</v>
      </c>
      <c r="BC57" s="15">
        <f t="shared" ref="BC57:BC58" si="370">(BB57/BA57-1)*100</f>
        <v>-12.771713800718199</v>
      </c>
      <c r="BD57" s="23">
        <f>BG57-BA57</f>
        <v>744689</v>
      </c>
      <c r="BE57" s="22">
        <f>BH57-BB57</f>
        <v>437444</v>
      </c>
      <c r="BF57" s="15">
        <f t="shared" ref="BF57:BF58" si="371">(BE57/BD57-1)*100</f>
        <v>-41.258162803532748</v>
      </c>
      <c r="BG57" s="22">
        <v>5529411</v>
      </c>
      <c r="BH57" s="22">
        <v>4611075</v>
      </c>
      <c r="BI57" s="15">
        <f t="shared" ref="BI57:BI58" si="372">(BH57/BG57-1)*100</f>
        <v>-16.60820655219878</v>
      </c>
      <c r="BJ57" s="23">
        <f>BM57-BG57</f>
        <v>512376</v>
      </c>
      <c r="BK57" s="22">
        <f>BN57-BH57</f>
        <v>496226</v>
      </c>
      <c r="BL57" s="15">
        <f t="shared" ref="BL57:BL58" si="373">(BK57/BJ57-1)*100</f>
        <v>-3.1519821381173152</v>
      </c>
      <c r="BM57" s="22">
        <v>6041787</v>
      </c>
      <c r="BN57" s="22">
        <v>5107301</v>
      </c>
      <c r="BO57" s="15">
        <f t="shared" ref="BO57:BO58" si="374">(BN57/BM57-1)*100</f>
        <v>-15.467046421861607</v>
      </c>
      <c r="BP57" s="23">
        <f>BS57-BM57</f>
        <v>520050</v>
      </c>
      <c r="BQ57" s="22">
        <f>BT57-BN57</f>
        <v>541855</v>
      </c>
      <c r="BR57" s="15">
        <f t="shared" ref="BR57:BR58" si="375">(BQ57/BP57-1)*100</f>
        <v>4.1928660705701448</v>
      </c>
      <c r="BS57" s="22">
        <v>6561837</v>
      </c>
      <c r="BT57" s="22">
        <v>5649156</v>
      </c>
      <c r="BU57" s="15">
        <f t="shared" ref="BU57:BU58" si="376">(BT57/BS57-1)*100</f>
        <v>-13.908925198842947</v>
      </c>
      <c r="BV57" s="23">
        <f>BY57-BS57</f>
        <v>480305</v>
      </c>
      <c r="BW57" s="22">
        <f>BZ57-BT57</f>
        <v>409691</v>
      </c>
      <c r="BX57" s="15">
        <f t="shared" ref="BX57:BX58" si="377">(BW57/BV57-1)*100</f>
        <v>-14.701908162521725</v>
      </c>
      <c r="BY57" s="22">
        <v>7042142</v>
      </c>
      <c r="BZ57" s="22">
        <v>6058847</v>
      </c>
      <c r="CA57" s="15">
        <f t="shared" ref="CA57:CA58" si="378">(BZ57/BY57-1)*100</f>
        <v>-13.963010118228237</v>
      </c>
      <c r="CB57" s="6"/>
    </row>
    <row r="58" spans="1:80" s="1" customFormat="1" ht="19.5" customHeight="1">
      <c r="A58" s="154"/>
      <c r="B58" s="167"/>
      <c r="C58" s="33" t="s">
        <v>104</v>
      </c>
      <c r="D58" s="17">
        <v>29470624</v>
      </c>
      <c r="E58" s="17">
        <v>46089250</v>
      </c>
      <c r="F58" s="17">
        <v>64044148</v>
      </c>
      <c r="G58" s="17">
        <v>54776164</v>
      </c>
      <c r="H58" s="17">
        <v>50235809</v>
      </c>
      <c r="I58" s="17">
        <v>51283903</v>
      </c>
      <c r="J58" s="17">
        <v>45657592</v>
      </c>
      <c r="K58" s="17">
        <v>3355266</v>
      </c>
      <c r="L58" s="17">
        <v>2791265</v>
      </c>
      <c r="M58" s="18">
        <f t="shared" si="0"/>
        <v>-16.809427330053715</v>
      </c>
      <c r="N58" s="14">
        <f>Q58-K58</f>
        <v>2716458</v>
      </c>
      <c r="O58" s="14">
        <f>R58-L58</f>
        <v>2892023</v>
      </c>
      <c r="P58" s="18">
        <f t="shared" si="1"/>
        <v>6.4630117601671033</v>
      </c>
      <c r="Q58" s="17">
        <v>6071724</v>
      </c>
      <c r="R58" s="17">
        <v>5683288</v>
      </c>
      <c r="S58" s="18">
        <f t="shared" si="2"/>
        <v>-6.3974581189790598</v>
      </c>
      <c r="T58" s="14">
        <f>W58-Q58</f>
        <v>3988000</v>
      </c>
      <c r="U58" s="14">
        <f>X58-R58</f>
        <v>2735265</v>
      </c>
      <c r="V58" s="18">
        <f t="shared" si="359"/>
        <v>-31.412612838515543</v>
      </c>
      <c r="W58" s="17">
        <v>10059724</v>
      </c>
      <c r="X58" s="17">
        <v>8418553</v>
      </c>
      <c r="Y58" s="18">
        <f t="shared" si="360"/>
        <v>-16.314274626222346</v>
      </c>
      <c r="Z58" s="14">
        <f>AC58-W58</f>
        <v>3362000</v>
      </c>
      <c r="AA58" s="14">
        <f>AD58-X58</f>
        <v>3451226</v>
      </c>
      <c r="AB58" s="18">
        <f t="shared" si="361"/>
        <v>2.6539559785841771</v>
      </c>
      <c r="AC58" s="17">
        <v>13421724</v>
      </c>
      <c r="AD58" s="17">
        <v>11869779</v>
      </c>
      <c r="AE58" s="18">
        <f t="shared" si="362"/>
        <v>-11.562933345969562</v>
      </c>
      <c r="AF58" s="14">
        <f>AI58-AC58</f>
        <v>4932782</v>
      </c>
      <c r="AG58" s="14">
        <f>AJ58-AD58</f>
        <v>2794234</v>
      </c>
      <c r="AH58" s="18">
        <f t="shared" si="363"/>
        <v>-43.353791025024016</v>
      </c>
      <c r="AI58" s="17">
        <v>18354506</v>
      </c>
      <c r="AJ58" s="17">
        <v>14664013</v>
      </c>
      <c r="AK58" s="18">
        <f t="shared" si="364"/>
        <v>-20.106741091261181</v>
      </c>
      <c r="AL58" s="14">
        <f>AO58-AI58</f>
        <v>5467732</v>
      </c>
      <c r="AM58" s="14">
        <f>AP58-AJ58</f>
        <v>2987212</v>
      </c>
      <c r="AN58" s="18">
        <f t="shared" si="365"/>
        <v>-45.366524913803389</v>
      </c>
      <c r="AO58" s="17">
        <v>23822238</v>
      </c>
      <c r="AP58" s="17">
        <v>17651225</v>
      </c>
      <c r="AQ58" s="18">
        <f t="shared" si="366"/>
        <v>-25.904421742407248</v>
      </c>
      <c r="AR58" s="14">
        <f>AU58-AO58</f>
        <v>4518357</v>
      </c>
      <c r="AS58" s="14">
        <f>AV58-AP58</f>
        <v>2883479</v>
      </c>
      <c r="AT58" s="18">
        <f t="shared" si="367"/>
        <v>-36.183019624168701</v>
      </c>
      <c r="AU58" s="17">
        <v>28340595</v>
      </c>
      <c r="AV58" s="17">
        <v>20534704</v>
      </c>
      <c r="AW58" s="18">
        <f t="shared" si="368"/>
        <v>-27.543144383524766</v>
      </c>
      <c r="AX58" s="14">
        <f>BA58-AU58</f>
        <v>3350017</v>
      </c>
      <c r="AY58" s="14">
        <f>BB58-AV58</f>
        <v>2661670</v>
      </c>
      <c r="AZ58" s="18">
        <f t="shared" si="369"/>
        <v>-20.547567370553644</v>
      </c>
      <c r="BA58" s="17">
        <v>31690612</v>
      </c>
      <c r="BB58" s="17">
        <v>23196374</v>
      </c>
      <c r="BC58" s="18">
        <f t="shared" si="370"/>
        <v>-26.803641406483415</v>
      </c>
      <c r="BD58" s="14">
        <f>BG58-BA58</f>
        <v>4735455</v>
      </c>
      <c r="BE58" s="14">
        <f>BH58-BB58</f>
        <v>2342645</v>
      </c>
      <c r="BF58" s="18">
        <f t="shared" si="371"/>
        <v>-50.529674550808743</v>
      </c>
      <c r="BG58" s="17">
        <v>36426067</v>
      </c>
      <c r="BH58" s="17">
        <v>25539019</v>
      </c>
      <c r="BI58" s="18">
        <f t="shared" si="372"/>
        <v>-29.888068893081432</v>
      </c>
      <c r="BJ58" s="14">
        <f>BM58-BG58</f>
        <v>3216121</v>
      </c>
      <c r="BK58" s="14">
        <f>BN58-BH58</f>
        <v>2700452</v>
      </c>
      <c r="BL58" s="18">
        <f t="shared" si="373"/>
        <v>-16.033880566060787</v>
      </c>
      <c r="BM58" s="17">
        <v>39642188</v>
      </c>
      <c r="BN58" s="17">
        <v>28239471</v>
      </c>
      <c r="BO58" s="18">
        <f t="shared" si="374"/>
        <v>-28.764095967659507</v>
      </c>
      <c r="BP58" s="14">
        <f>BS58-BM58</f>
        <v>3129336</v>
      </c>
      <c r="BQ58" s="14">
        <f>BT58-BN58</f>
        <v>2919651</v>
      </c>
      <c r="BR58" s="18">
        <f t="shared" si="375"/>
        <v>-6.7006227519192603</v>
      </c>
      <c r="BS58" s="17">
        <v>42771524</v>
      </c>
      <c r="BT58" s="17">
        <v>31159122</v>
      </c>
      <c r="BU58" s="18">
        <f t="shared" si="376"/>
        <v>-27.149843900815885</v>
      </c>
      <c r="BV58" s="14">
        <f>BY58-BS58</f>
        <v>2886068</v>
      </c>
      <c r="BW58" s="14">
        <f>BZ58-BT58</f>
        <v>2192451</v>
      </c>
      <c r="BX58" s="18">
        <f t="shared" si="377"/>
        <v>-24.033286810982968</v>
      </c>
      <c r="BY58" s="17">
        <v>45657592</v>
      </c>
      <c r="BZ58" s="17">
        <v>33351573</v>
      </c>
      <c r="CA58" s="18">
        <f t="shared" si="378"/>
        <v>-26.952842804324849</v>
      </c>
      <c r="CB58" s="6"/>
    </row>
    <row r="59" spans="1:80" s="1" customFormat="1" ht="19.5" customHeight="1" thickBot="1">
      <c r="A59" s="155"/>
      <c r="B59" s="168"/>
      <c r="C59" s="34" t="s">
        <v>105</v>
      </c>
      <c r="D59" s="19">
        <f t="shared" ref="D59:L59" si="379">D58/D57</f>
        <v>5.1746515919574234</v>
      </c>
      <c r="E59" s="19">
        <f t="shared" si="379"/>
        <v>7.1457309415649855</v>
      </c>
      <c r="F59" s="19">
        <f t="shared" si="379"/>
        <v>8.9858878503623867</v>
      </c>
      <c r="G59" s="19">
        <f t="shared" si="379"/>
        <v>8.3921019244507793</v>
      </c>
      <c r="H59" s="20">
        <f>H58/H57</f>
        <v>8.027591555176798</v>
      </c>
      <c r="I59" s="20">
        <f>I58/I57</f>
        <v>7.4327567153136034</v>
      </c>
      <c r="J59" s="20">
        <f>J58/J57</f>
        <v>6.4834807364009412</v>
      </c>
      <c r="K59" s="20">
        <f t="shared" si="379"/>
        <v>7.0761122640076932</v>
      </c>
      <c r="L59" s="20">
        <f t="shared" si="379"/>
        <v>5.8380375514779859</v>
      </c>
      <c r="M59" s="47"/>
      <c r="N59" s="20">
        <f>N58/N57</f>
        <v>7.1094529837133038</v>
      </c>
      <c r="O59" s="20">
        <f>O58/O57</f>
        <v>5.5876728261961617</v>
      </c>
      <c r="P59" s="47"/>
      <c r="Q59" s="20">
        <f>Q58/Q57</f>
        <v>7.090989992513947</v>
      </c>
      <c r="R59" s="20">
        <f>R58/R57</f>
        <v>5.7078947341991322</v>
      </c>
      <c r="S59" s="47"/>
      <c r="T59" s="20">
        <f>T58/T57</f>
        <v>6.7274862008933995</v>
      </c>
      <c r="U59" s="20">
        <f>U58/U57</f>
        <v>5.422271781147785</v>
      </c>
      <c r="V59" s="47"/>
      <c r="W59" s="20">
        <f>W58/W57</f>
        <v>6.9422842950317136</v>
      </c>
      <c r="X59" s="20">
        <f>X58/X57</f>
        <v>5.6118486353597898</v>
      </c>
      <c r="Y59" s="47"/>
      <c r="Z59" s="20">
        <f>Z58/Z57</f>
        <v>6.5980174547195842</v>
      </c>
      <c r="AA59" s="20">
        <f>AA58/AA57</f>
        <v>5.620825169745622</v>
      </c>
      <c r="AB59" s="47"/>
      <c r="AC59" s="20">
        <f>AC58/AC57</f>
        <v>6.85272016003284</v>
      </c>
      <c r="AD59" s="20">
        <f>AD58/AD57</f>
        <v>5.6144556714626139</v>
      </c>
      <c r="AE59" s="47"/>
      <c r="AF59" s="20">
        <f>AF58/AF57</f>
        <v>6.5368540877352705</v>
      </c>
      <c r="AG59" s="20">
        <f>AG58/AG57</f>
        <v>5.5829185789325413</v>
      </c>
      <c r="AH59" s="47"/>
      <c r="AI59" s="20">
        <f>AI58/AI57</f>
        <v>6.7648699381433568</v>
      </c>
      <c r="AJ59" s="20">
        <f>AJ58/AJ57</f>
        <v>5.6084188166415068</v>
      </c>
      <c r="AK59" s="47"/>
      <c r="AL59" s="20">
        <f>AL58/AL57</f>
        <v>6.4353362945805408</v>
      </c>
      <c r="AM59" s="20">
        <f>AM58/AM57</f>
        <v>5.5324785485821595</v>
      </c>
      <c r="AN59" s="47"/>
      <c r="AO59" s="20">
        <f>AO58/AO57</f>
        <v>6.6862852249504678</v>
      </c>
      <c r="AP59" s="20">
        <f>AP58/AP57</f>
        <v>5.5954208225236668</v>
      </c>
      <c r="AQ59" s="47"/>
      <c r="AR59" s="20">
        <f>AR58/AR57</f>
        <v>6.4350676355060061</v>
      </c>
      <c r="AS59" s="20">
        <f>AS58/AS57</f>
        <v>5.4627588127530347</v>
      </c>
      <c r="AT59" s="47"/>
      <c r="AU59" s="20">
        <f>AU58/AU57</f>
        <v>6.6449273000660964</v>
      </c>
      <c r="AV59" s="20">
        <f>AV58/AV57</f>
        <v>5.5764049090450403</v>
      </c>
      <c r="AW59" s="47"/>
      <c r="AX59" s="20">
        <f>AX58/AX57</f>
        <v>6.4457491942854395</v>
      </c>
      <c r="AY59" s="20">
        <f>AY58/AY57</f>
        <v>5.4186651574498583</v>
      </c>
      <c r="AZ59" s="47"/>
      <c r="BA59" s="20">
        <f>BA58/BA57</f>
        <v>6.6232922205302627</v>
      </c>
      <c r="BB59" s="20">
        <f>BB58/BB57</f>
        <v>5.5578401636368904</v>
      </c>
      <c r="BC59" s="47"/>
      <c r="BD59" s="20">
        <f>BD58/BD57</f>
        <v>6.3589699861284377</v>
      </c>
      <c r="BE59" s="20">
        <f>BE58/BE57</f>
        <v>5.3553026215927071</v>
      </c>
      <c r="BF59" s="47"/>
      <c r="BG59" s="20">
        <f>BG58/BG57</f>
        <v>6.5876938791491533</v>
      </c>
      <c r="BH59" s="20">
        <f>BH58/BH57</f>
        <v>5.5386258085153681</v>
      </c>
      <c r="BI59" s="47"/>
      <c r="BJ59" s="20">
        <f>BJ58/BJ57</f>
        <v>6.2768767467640947</v>
      </c>
      <c r="BK59" s="20">
        <f>BK58/BK57</f>
        <v>5.441980065534656</v>
      </c>
      <c r="BL59" s="47"/>
      <c r="BM59" s="20">
        <f>BM58/BM57</f>
        <v>6.5613349163087014</v>
      </c>
      <c r="BN59" s="20">
        <f>BN58/BN57</f>
        <v>5.5292356961142488</v>
      </c>
      <c r="BO59" s="47"/>
      <c r="BP59" s="20">
        <f>BP58/BP57</f>
        <v>6.0173752523795789</v>
      </c>
      <c r="BQ59" s="20">
        <f>BQ58/BQ57</f>
        <v>5.3882514694890702</v>
      </c>
      <c r="BR59" s="47"/>
      <c r="BS59" s="20">
        <f>BS58/BS57</f>
        <v>6.5182240887727021</v>
      </c>
      <c r="BT59" s="20">
        <f>BT58/BT57</f>
        <v>5.5157127896627394</v>
      </c>
      <c r="BU59" s="47"/>
      <c r="BV59" s="20">
        <f>BV58/BV57</f>
        <v>6.0088235600295645</v>
      </c>
      <c r="BW59" s="20">
        <f>BW58/BW57</f>
        <v>5.3514746479663939</v>
      </c>
      <c r="BX59" s="47"/>
      <c r="BY59" s="20">
        <f>BY58/BY57</f>
        <v>6.4834807364009412</v>
      </c>
      <c r="BZ59" s="20">
        <f>BZ58/BZ57</f>
        <v>5.5046072297253916</v>
      </c>
      <c r="CA59" s="47"/>
      <c r="CB59" s="6"/>
    </row>
    <row r="60" spans="1:80" s="1" customFormat="1" ht="19.5" customHeight="1">
      <c r="A60" s="164" t="s">
        <v>124</v>
      </c>
      <c r="B60" s="133" t="s">
        <v>37</v>
      </c>
      <c r="C60" s="32" t="s">
        <v>42</v>
      </c>
      <c r="D60" s="22">
        <v>7063</v>
      </c>
      <c r="E60" s="22">
        <v>7060</v>
      </c>
      <c r="F60" s="22">
        <v>6039</v>
      </c>
      <c r="G60" s="22">
        <v>4677</v>
      </c>
      <c r="H60" s="22">
        <v>3452</v>
      </c>
      <c r="I60" s="22">
        <v>5764</v>
      </c>
      <c r="J60" s="22">
        <v>13734</v>
      </c>
      <c r="K60" s="22">
        <v>16</v>
      </c>
      <c r="L60" s="22">
        <v>24</v>
      </c>
      <c r="M60" s="15">
        <f t="shared" si="0"/>
        <v>50</v>
      </c>
      <c r="N60" s="23">
        <f>Q60-K60</f>
        <v>2120</v>
      </c>
      <c r="O60" s="22">
        <f>R60-L60</f>
        <v>0</v>
      </c>
      <c r="P60" s="15">
        <f t="shared" si="1"/>
        <v>-100</v>
      </c>
      <c r="Q60" s="22">
        <v>2136</v>
      </c>
      <c r="R60" s="22">
        <v>24</v>
      </c>
      <c r="S60" s="15">
        <f t="shared" si="2"/>
        <v>-98.876404494382015</v>
      </c>
      <c r="T60" s="23">
        <f>W60-Q60</f>
        <v>2519</v>
      </c>
      <c r="U60" s="22">
        <f>X60-R60</f>
        <v>708</v>
      </c>
      <c r="V60" s="15">
        <f t="shared" ref="V60:V61" si="380">(U60/T60-1)*100</f>
        <v>-71.893608574831276</v>
      </c>
      <c r="W60" s="22">
        <v>4655</v>
      </c>
      <c r="X60" s="22">
        <v>732</v>
      </c>
      <c r="Y60" s="15">
        <f t="shared" ref="Y60:Y61" si="381">(X60/W60-1)*100</f>
        <v>-84.274973147153602</v>
      </c>
      <c r="Z60" s="23">
        <f>AC60-W60</f>
        <v>900</v>
      </c>
      <c r="AA60" s="22">
        <f>AD60-X60</f>
        <v>6</v>
      </c>
      <c r="AB60" s="15">
        <f t="shared" ref="AB60:AB61" si="382">(AA60/Z60-1)*100</f>
        <v>-99.333333333333329</v>
      </c>
      <c r="AC60" s="22">
        <v>5555</v>
      </c>
      <c r="AD60" s="22">
        <v>738</v>
      </c>
      <c r="AE60" s="15">
        <f t="shared" ref="AE60:AE61" si="383">(AD60/AC60-1)*100</f>
        <v>-86.714671467146715</v>
      </c>
      <c r="AF60" s="23">
        <f>AI60-AC60</f>
        <v>1440</v>
      </c>
      <c r="AG60" s="22">
        <f>AJ60-AD60</f>
        <v>562</v>
      </c>
      <c r="AH60" s="15">
        <f t="shared" ref="AH60:AH61" si="384">(AG60/AF60-1)*100</f>
        <v>-60.972222222222229</v>
      </c>
      <c r="AI60" s="22">
        <v>6995</v>
      </c>
      <c r="AJ60" s="22">
        <v>1300</v>
      </c>
      <c r="AK60" s="15">
        <f t="shared" ref="AK60:AK61" si="385">(AJ60/AI60-1)*100</f>
        <v>-81.41529664045747</v>
      </c>
      <c r="AL60" s="23">
        <f>AO60-AI60</f>
        <v>1961</v>
      </c>
      <c r="AM60" s="22">
        <f>AP60-AJ60</f>
        <v>613</v>
      </c>
      <c r="AN60" s="15">
        <f t="shared" ref="AN60:AN61" si="386">(AM60/AL60-1)*100</f>
        <v>-68.740438551759311</v>
      </c>
      <c r="AO60" s="22">
        <v>8956</v>
      </c>
      <c r="AP60" s="22">
        <v>1913</v>
      </c>
      <c r="AQ60" s="15">
        <f t="shared" ref="AQ60:AQ61" si="387">(AP60/AO60-1)*100</f>
        <v>-78.640017865118367</v>
      </c>
      <c r="AR60" s="23">
        <f>AU60-AO60</f>
        <v>1272</v>
      </c>
      <c r="AS60" s="22">
        <f>AV60-AP60</f>
        <v>610</v>
      </c>
      <c r="AT60" s="15">
        <f t="shared" ref="AT60:AT61" si="388">(AS60/AR60-1)*100</f>
        <v>-52.044025157232696</v>
      </c>
      <c r="AU60" s="22">
        <v>10228</v>
      </c>
      <c r="AV60" s="22">
        <v>2523</v>
      </c>
      <c r="AW60" s="15">
        <f t="shared" ref="AW60:AW61" si="389">(AV60/AU60-1)*100</f>
        <v>-75.3324208056316</v>
      </c>
      <c r="AX60" s="23">
        <f>BA60-AU60</f>
        <v>1279</v>
      </c>
      <c r="AY60" s="22">
        <f>BB60-AV60</f>
        <v>619</v>
      </c>
      <c r="AZ60" s="15">
        <f t="shared" ref="AZ60:AZ61" si="390">(AY60/AX60-1)*100</f>
        <v>-51.602814698983579</v>
      </c>
      <c r="BA60" s="22">
        <v>11507</v>
      </c>
      <c r="BB60" s="22">
        <v>3142</v>
      </c>
      <c r="BC60" s="15">
        <f t="shared" ref="BC60:BC61" si="391">(BB60/BA60-1)*100</f>
        <v>-72.694881376553397</v>
      </c>
      <c r="BD60" s="23">
        <f>BG60-BA60</f>
        <v>125</v>
      </c>
      <c r="BE60" s="22">
        <f>BH60-BB60</f>
        <v>510</v>
      </c>
      <c r="BF60" s="15">
        <f t="shared" ref="BF60:BF61" si="392">(BE60/BD60-1)*100</f>
        <v>308</v>
      </c>
      <c r="BG60" s="22">
        <v>11632</v>
      </c>
      <c r="BH60" s="22">
        <v>3652</v>
      </c>
      <c r="BI60" s="15">
        <f t="shared" ref="BI60:BI61" si="393">(BH60/BG60-1)*100</f>
        <v>-68.603851444291607</v>
      </c>
      <c r="BJ60" s="23">
        <f>BM60-BG60</f>
        <v>971</v>
      </c>
      <c r="BK60" s="22">
        <f>BN60-BH60</f>
        <v>507</v>
      </c>
      <c r="BL60" s="15">
        <f t="shared" ref="BL60:BL61" si="394">(BK60/BJ60-1)*100</f>
        <v>-47.785787847579819</v>
      </c>
      <c r="BM60" s="22">
        <v>12603</v>
      </c>
      <c r="BN60" s="22">
        <v>4159</v>
      </c>
      <c r="BO60" s="15">
        <f t="shared" ref="BO60:BO61" si="395">(BN60/BM60-1)*100</f>
        <v>-66.99992065381258</v>
      </c>
      <c r="BP60" s="23">
        <f>BS60-BM60</f>
        <v>466</v>
      </c>
      <c r="BQ60" s="22">
        <f>BT60-BN60</f>
        <v>506</v>
      </c>
      <c r="BR60" s="15">
        <f t="shared" ref="BR60:BR61" si="396">(BQ60/BP60-1)*100</f>
        <v>8.5836909871244593</v>
      </c>
      <c r="BS60" s="22">
        <v>13069</v>
      </c>
      <c r="BT60" s="22">
        <v>4665</v>
      </c>
      <c r="BU60" s="15">
        <f t="shared" ref="BU60:BU61" si="397">(BT60/BS60-1)*100</f>
        <v>-64.304843522840315</v>
      </c>
      <c r="BV60" s="23">
        <f>BY60-BS60</f>
        <v>665</v>
      </c>
      <c r="BW60" s="22">
        <f>BZ60-BT60</f>
        <v>610</v>
      </c>
      <c r="BX60" s="15">
        <f t="shared" ref="BX60:BX61" si="398">(BW60/BV60-1)*100</f>
        <v>-8.270676691729328</v>
      </c>
      <c r="BY60" s="22">
        <v>13734</v>
      </c>
      <c r="BZ60" s="22">
        <v>5275</v>
      </c>
      <c r="CA60" s="15">
        <f t="shared" ref="CA60:CA61" si="399">(BZ60/BY60-1)*100</f>
        <v>-61.591670307266646</v>
      </c>
      <c r="CB60" s="6"/>
    </row>
    <row r="61" spans="1:80" s="1" customFormat="1" ht="19.5" customHeight="1">
      <c r="A61" s="154"/>
      <c r="B61" s="167"/>
      <c r="C61" s="33" t="s">
        <v>104</v>
      </c>
      <c r="D61" s="17">
        <v>4316597</v>
      </c>
      <c r="E61" s="17">
        <v>4387226</v>
      </c>
      <c r="F61" s="17">
        <v>6928529</v>
      </c>
      <c r="G61" s="17">
        <v>5175004</v>
      </c>
      <c r="H61" s="17">
        <v>4068126</v>
      </c>
      <c r="I61" s="17">
        <v>7237468</v>
      </c>
      <c r="J61" s="17">
        <v>12466265</v>
      </c>
      <c r="K61" s="17">
        <v>24696</v>
      </c>
      <c r="L61" s="17">
        <v>11490</v>
      </c>
      <c r="M61" s="18">
        <f t="shared" si="0"/>
        <v>-53.474246841593789</v>
      </c>
      <c r="N61" s="14">
        <f>Q61-K61</f>
        <v>1191321</v>
      </c>
      <c r="O61" s="14">
        <f>R61-L61</f>
        <v>941</v>
      </c>
      <c r="P61" s="18">
        <f t="shared" si="1"/>
        <v>-99.921012053006706</v>
      </c>
      <c r="Q61" s="17">
        <v>1216017</v>
      </c>
      <c r="R61" s="17">
        <v>12431</v>
      </c>
      <c r="S61" s="18">
        <f t="shared" si="2"/>
        <v>-98.977728107419551</v>
      </c>
      <c r="T61" s="14">
        <f>W61-Q61</f>
        <v>1127007</v>
      </c>
      <c r="U61" s="14">
        <f>X61-R61</f>
        <v>748204</v>
      </c>
      <c r="V61" s="18">
        <f t="shared" si="380"/>
        <v>-33.611415013393888</v>
      </c>
      <c r="W61" s="17">
        <v>2343024</v>
      </c>
      <c r="X61" s="17">
        <v>760635</v>
      </c>
      <c r="Y61" s="18">
        <f t="shared" si="381"/>
        <v>-67.536184008358433</v>
      </c>
      <c r="Z61" s="14">
        <f>AC61-W61</f>
        <v>1019039</v>
      </c>
      <c r="AA61" s="14">
        <f>AD61-X61</f>
        <v>5936</v>
      </c>
      <c r="AB61" s="18">
        <f t="shared" si="382"/>
        <v>-99.417490400269273</v>
      </c>
      <c r="AC61" s="17">
        <v>3362063</v>
      </c>
      <c r="AD61" s="17">
        <v>766571</v>
      </c>
      <c r="AE61" s="18">
        <f t="shared" si="383"/>
        <v>-77.199386210192969</v>
      </c>
      <c r="AF61" s="14">
        <f>AI61-AC61</f>
        <v>1749199</v>
      </c>
      <c r="AG61" s="14">
        <f>AJ61-AD61</f>
        <v>374516</v>
      </c>
      <c r="AH61" s="18">
        <f t="shared" si="384"/>
        <v>-78.589285724494459</v>
      </c>
      <c r="AI61" s="17">
        <v>5111262</v>
      </c>
      <c r="AJ61" s="17">
        <v>1141087</v>
      </c>
      <c r="AK61" s="18">
        <f t="shared" si="385"/>
        <v>-77.675043854140142</v>
      </c>
      <c r="AL61" s="14">
        <f>AO61-AI61</f>
        <v>2437909</v>
      </c>
      <c r="AM61" s="14">
        <f>AP61-AJ61</f>
        <v>371710</v>
      </c>
      <c r="AN61" s="18">
        <f t="shared" si="386"/>
        <v>-84.752917356636374</v>
      </c>
      <c r="AO61" s="17">
        <v>7549171</v>
      </c>
      <c r="AP61" s="17">
        <v>1512797</v>
      </c>
      <c r="AQ61" s="18">
        <f t="shared" si="387"/>
        <v>-79.960753306555119</v>
      </c>
      <c r="AR61" s="14">
        <f>AU61-AO61</f>
        <v>1554534</v>
      </c>
      <c r="AS61" s="14">
        <f>AV61-AP61</f>
        <v>358381</v>
      </c>
      <c r="AT61" s="18">
        <f t="shared" si="388"/>
        <v>-76.946081591010554</v>
      </c>
      <c r="AU61" s="17">
        <v>9103705</v>
      </c>
      <c r="AV61" s="17">
        <v>1871178</v>
      </c>
      <c r="AW61" s="18">
        <f t="shared" si="389"/>
        <v>-79.445972820955873</v>
      </c>
      <c r="AX61" s="14">
        <f>BA61-AU61</f>
        <v>1302433</v>
      </c>
      <c r="AY61" s="14">
        <f>BB61-AV61</f>
        <v>364092</v>
      </c>
      <c r="AZ61" s="18">
        <f t="shared" si="390"/>
        <v>-72.045241482671287</v>
      </c>
      <c r="BA61" s="17">
        <v>10406138</v>
      </c>
      <c r="BB61" s="17">
        <v>2235270</v>
      </c>
      <c r="BC61" s="18">
        <f t="shared" si="391"/>
        <v>-78.519696740519876</v>
      </c>
      <c r="BD61" s="14">
        <f>BG61-BA61</f>
        <v>8223</v>
      </c>
      <c r="BE61" s="14">
        <f>BH61-BB61</f>
        <v>270081</v>
      </c>
      <c r="BF61" s="18">
        <f t="shared" si="392"/>
        <v>3184.4582269244802</v>
      </c>
      <c r="BG61" s="17">
        <v>10414361</v>
      </c>
      <c r="BH61" s="17">
        <v>2505351</v>
      </c>
      <c r="BI61" s="18">
        <f t="shared" si="393"/>
        <v>-75.943305595033621</v>
      </c>
      <c r="BJ61" s="14">
        <f>BM61-BG61</f>
        <v>1171926</v>
      </c>
      <c r="BK61" s="14">
        <f>BN61-BH61</f>
        <v>239448</v>
      </c>
      <c r="BL61" s="18">
        <f t="shared" si="394"/>
        <v>-79.567993200935888</v>
      </c>
      <c r="BM61" s="17">
        <v>11586287</v>
      </c>
      <c r="BN61" s="17">
        <v>2744799</v>
      </c>
      <c r="BO61" s="18">
        <f t="shared" si="395"/>
        <v>-76.30993432149576</v>
      </c>
      <c r="BP61" s="14">
        <f>BS61-BM61</f>
        <v>30677</v>
      </c>
      <c r="BQ61" s="14">
        <f>BT61-BN61</f>
        <v>229759</v>
      </c>
      <c r="BR61" s="18">
        <f t="shared" si="396"/>
        <v>648.96176288424556</v>
      </c>
      <c r="BS61" s="17">
        <v>11616964</v>
      </c>
      <c r="BT61" s="17">
        <v>2974558</v>
      </c>
      <c r="BU61" s="18">
        <f t="shared" si="397"/>
        <v>-74.394704158504751</v>
      </c>
      <c r="BV61" s="14">
        <f>BY61-BS61</f>
        <v>849301</v>
      </c>
      <c r="BW61" s="14">
        <f>BZ61-BT61</f>
        <v>281349</v>
      </c>
      <c r="BX61" s="18">
        <f t="shared" si="398"/>
        <v>-66.872875458759623</v>
      </c>
      <c r="BY61" s="17">
        <v>12466265</v>
      </c>
      <c r="BZ61" s="17">
        <v>3255907</v>
      </c>
      <c r="CA61" s="18">
        <f t="shared" si="399"/>
        <v>-73.882257436369272</v>
      </c>
      <c r="CB61" s="6"/>
    </row>
    <row r="62" spans="1:80" s="1" customFormat="1" ht="19.5" customHeight="1" thickBot="1">
      <c r="A62" s="155"/>
      <c r="B62" s="168"/>
      <c r="C62" s="34" t="s">
        <v>105</v>
      </c>
      <c r="D62" s="19">
        <f t="shared" ref="D62:L62" si="400">D61/D60</f>
        <v>611.15630751805179</v>
      </c>
      <c r="E62" s="19">
        <f t="shared" si="400"/>
        <v>621.42011331444758</v>
      </c>
      <c r="F62" s="19">
        <f t="shared" si="400"/>
        <v>1147.2974002318265</v>
      </c>
      <c r="G62" s="19">
        <f t="shared" si="400"/>
        <v>1106.4793671156724</v>
      </c>
      <c r="H62" s="20">
        <f>H61/H60</f>
        <v>1178.4837775202782</v>
      </c>
      <c r="I62" s="20">
        <f>I61/I60</f>
        <v>1255.6328938237334</v>
      </c>
      <c r="J62" s="20">
        <f>J61/J60</f>
        <v>907.69367991845058</v>
      </c>
      <c r="K62" s="20">
        <f t="shared" si="400"/>
        <v>1543.5</v>
      </c>
      <c r="L62" s="20">
        <f t="shared" si="400"/>
        <v>478.75</v>
      </c>
      <c r="M62" s="47"/>
      <c r="N62" s="20">
        <f>N61/N60</f>
        <v>561.94386792452826</v>
      </c>
      <c r="O62" s="20" t="e">
        <f>O61/O60</f>
        <v>#DIV/0!</v>
      </c>
      <c r="P62" s="47"/>
      <c r="Q62" s="20">
        <f>Q61/Q60</f>
        <v>569.29634831460669</v>
      </c>
      <c r="R62" s="20">
        <f>R61/R60</f>
        <v>517.95833333333337</v>
      </c>
      <c r="S62" s="47"/>
      <c r="T62" s="20">
        <f>T61/T60</f>
        <v>447.4025406907503</v>
      </c>
      <c r="U62" s="20">
        <f>U61/U60</f>
        <v>1056.7853107344633</v>
      </c>
      <c r="V62" s="47"/>
      <c r="W62" s="20">
        <f>W61/W60</f>
        <v>503.33490870032222</v>
      </c>
      <c r="X62" s="20">
        <f>X61/X60</f>
        <v>1039.1188524590164</v>
      </c>
      <c r="Y62" s="47"/>
      <c r="Z62" s="20">
        <f>Z61/Z60</f>
        <v>1132.2655555555555</v>
      </c>
      <c r="AA62" s="20">
        <f>AA61/AA60</f>
        <v>989.33333333333337</v>
      </c>
      <c r="AB62" s="47"/>
      <c r="AC62" s="20">
        <f>AC61/AC60</f>
        <v>605.23186318631861</v>
      </c>
      <c r="AD62" s="20">
        <f>AD61/AD60</f>
        <v>1038.7140921409214</v>
      </c>
      <c r="AE62" s="47"/>
      <c r="AF62" s="20">
        <f>AF61/AF60</f>
        <v>1214.7215277777777</v>
      </c>
      <c r="AG62" s="20">
        <f>AG61/AG60</f>
        <v>666.39857651245552</v>
      </c>
      <c r="AH62" s="47"/>
      <c r="AI62" s="20">
        <f>AI61/AI60</f>
        <v>730.70221586847754</v>
      </c>
      <c r="AJ62" s="20">
        <f>AJ61/AJ60</f>
        <v>877.75923076923073</v>
      </c>
      <c r="AK62" s="47"/>
      <c r="AL62" s="20">
        <f>AL61/AL60</f>
        <v>1243.1968383477817</v>
      </c>
      <c r="AM62" s="20">
        <f>AM61/AM60</f>
        <v>606.37846655791191</v>
      </c>
      <c r="AN62" s="47"/>
      <c r="AO62" s="20">
        <f>AO61/AO60</f>
        <v>842.91770879857074</v>
      </c>
      <c r="AP62" s="20">
        <f>AP61/AP60</f>
        <v>790.79822268687928</v>
      </c>
      <c r="AQ62" s="47"/>
      <c r="AR62" s="20">
        <f>AR61/AR60</f>
        <v>1222.117924528302</v>
      </c>
      <c r="AS62" s="20">
        <f>AS61/AS60</f>
        <v>587.50983606557372</v>
      </c>
      <c r="AT62" s="47"/>
      <c r="AU62" s="20">
        <f>AU61/AU60</f>
        <v>890.07675009777086</v>
      </c>
      <c r="AV62" s="20">
        <f>AV61/AV60</f>
        <v>741.64803804994051</v>
      </c>
      <c r="AW62" s="47"/>
      <c r="AX62" s="20">
        <f>AX61/AX60</f>
        <v>1018.3213448006255</v>
      </c>
      <c r="AY62" s="20">
        <f>AY61/AY60</f>
        <v>588.19386106623585</v>
      </c>
      <c r="AZ62" s="47"/>
      <c r="BA62" s="20">
        <f>BA61/BA60</f>
        <v>904.33110280698702</v>
      </c>
      <c r="BB62" s="20">
        <f>BB61/BB60</f>
        <v>711.4162953532782</v>
      </c>
      <c r="BC62" s="47"/>
      <c r="BD62" s="20">
        <f>BD61/BD60</f>
        <v>65.784000000000006</v>
      </c>
      <c r="BE62" s="20">
        <f>BE61/BE60</f>
        <v>529.57058823529417</v>
      </c>
      <c r="BF62" s="47"/>
      <c r="BG62" s="20">
        <f>BG61/BG60</f>
        <v>895.31989339752408</v>
      </c>
      <c r="BH62" s="20">
        <f>BH61/BH60</f>
        <v>686.02163198247536</v>
      </c>
      <c r="BI62" s="47"/>
      <c r="BJ62" s="20">
        <f>BJ61/BJ60</f>
        <v>1206.9268795056644</v>
      </c>
      <c r="BK62" s="20">
        <f>BK61/BK60</f>
        <v>472.28402366863907</v>
      </c>
      <c r="BL62" s="47"/>
      <c r="BM62" s="20">
        <f>BM61/BM60</f>
        <v>919.32769975402687</v>
      </c>
      <c r="BN62" s="20">
        <f>BN61/BN60</f>
        <v>659.96609761962009</v>
      </c>
      <c r="BO62" s="47"/>
      <c r="BP62" s="20">
        <f>BP61/BP60</f>
        <v>65.830472103004297</v>
      </c>
      <c r="BQ62" s="20">
        <f>BQ61/BQ60</f>
        <v>454.06916996047431</v>
      </c>
      <c r="BR62" s="47"/>
      <c r="BS62" s="20">
        <f>BS61/BS60</f>
        <v>888.89463616190983</v>
      </c>
      <c r="BT62" s="20">
        <f>BT61/BT60</f>
        <v>637.63301178992492</v>
      </c>
      <c r="BU62" s="47"/>
      <c r="BV62" s="20">
        <f>BV61/BV60</f>
        <v>1277.1443609022556</v>
      </c>
      <c r="BW62" s="20">
        <f>BW61/BW60</f>
        <v>461.22786885245904</v>
      </c>
      <c r="BX62" s="47"/>
      <c r="BY62" s="20">
        <f>BY61/BY60</f>
        <v>907.69367991845058</v>
      </c>
      <c r="BZ62" s="20">
        <f>BZ61/BZ60</f>
        <v>617.23355450236966</v>
      </c>
      <c r="CA62" s="47"/>
      <c r="CB62" s="6"/>
    </row>
    <row r="63" spans="1:80" s="1" customFormat="1" ht="19.5" customHeight="1">
      <c r="A63" s="151" t="s">
        <v>125</v>
      </c>
      <c r="B63" s="133" t="s">
        <v>76</v>
      </c>
      <c r="C63" s="32" t="s">
        <v>42</v>
      </c>
      <c r="D63" s="22">
        <v>125618</v>
      </c>
      <c r="E63" s="22">
        <v>66290</v>
      </c>
      <c r="F63" s="22">
        <v>51806</v>
      </c>
      <c r="G63" s="22">
        <v>30295</v>
      </c>
      <c r="H63" s="22">
        <v>30584</v>
      </c>
      <c r="I63" s="22">
        <v>198617</v>
      </c>
      <c r="J63" s="22">
        <v>46582</v>
      </c>
      <c r="K63" s="22">
        <v>300</v>
      </c>
      <c r="L63" s="22">
        <v>3007</v>
      </c>
      <c r="M63" s="15">
        <f t="shared" si="0"/>
        <v>902.33333333333337</v>
      </c>
      <c r="N63" s="23">
        <f>Q63-K63</f>
        <v>3980</v>
      </c>
      <c r="O63" s="22">
        <f>R63-L63</f>
        <v>4470</v>
      </c>
      <c r="P63" s="15">
        <f t="shared" si="1"/>
        <v>12.311557788944727</v>
      </c>
      <c r="Q63" s="22">
        <v>4280</v>
      </c>
      <c r="R63" s="22">
        <v>7477</v>
      </c>
      <c r="S63" s="15">
        <f t="shared" si="2"/>
        <v>74.696261682242991</v>
      </c>
      <c r="T63" s="23">
        <f>W63-Q63</f>
        <v>4723</v>
      </c>
      <c r="U63" s="22">
        <f>X63-R63</f>
        <v>3282</v>
      </c>
      <c r="V63" s="15">
        <f t="shared" ref="V63:V64" si="401">(U63/T63-1)*100</f>
        <v>-30.51026889688757</v>
      </c>
      <c r="W63" s="22">
        <v>9003</v>
      </c>
      <c r="X63" s="22">
        <v>10759</v>
      </c>
      <c r="Y63" s="15">
        <f t="shared" ref="Y63:Y64" si="402">(X63/W63-1)*100</f>
        <v>19.50460957458624</v>
      </c>
      <c r="Z63" s="23">
        <f>AC63-W63</f>
        <v>1806</v>
      </c>
      <c r="AA63" s="22">
        <f>AD63-X63</f>
        <v>2923</v>
      </c>
      <c r="AB63" s="15">
        <f t="shared" ref="AB63:AB64" si="403">(AA63/Z63-1)*100</f>
        <v>61.849390919158353</v>
      </c>
      <c r="AC63" s="22">
        <v>10809</v>
      </c>
      <c r="AD63" s="22">
        <v>13682</v>
      </c>
      <c r="AE63" s="15">
        <f t="shared" ref="AE63:AE64" si="404">(AD63/AC63-1)*100</f>
        <v>26.579702100101766</v>
      </c>
      <c r="AF63" s="23">
        <f>AI63-AC63</f>
        <v>4778</v>
      </c>
      <c r="AG63" s="22">
        <f>AJ63-AD63</f>
        <v>4112</v>
      </c>
      <c r="AH63" s="15">
        <f t="shared" ref="AH63:AH64" si="405">(AG63/AF63-1)*100</f>
        <v>-13.938886563415654</v>
      </c>
      <c r="AI63" s="22">
        <v>15587</v>
      </c>
      <c r="AJ63" s="22">
        <v>17794</v>
      </c>
      <c r="AK63" s="15">
        <f t="shared" ref="AK63:AK64" si="406">(AJ63/AI63-1)*100</f>
        <v>14.159235260152681</v>
      </c>
      <c r="AL63" s="23">
        <f>AO63-AI63</f>
        <v>5332</v>
      </c>
      <c r="AM63" s="22">
        <f>AP63-AJ63</f>
        <v>1006</v>
      </c>
      <c r="AN63" s="15">
        <f t="shared" ref="AN63:AN64" si="407">(AM63/AL63-1)*100</f>
        <v>-81.13278319579895</v>
      </c>
      <c r="AO63" s="22">
        <v>20919</v>
      </c>
      <c r="AP63" s="22">
        <v>18800</v>
      </c>
      <c r="AQ63" s="15">
        <f t="shared" ref="AQ63:AQ64" si="408">(AP63/AO63-1)*100</f>
        <v>-10.129547301496245</v>
      </c>
      <c r="AR63" s="23">
        <f>AU63-AO63</f>
        <v>2071</v>
      </c>
      <c r="AS63" s="22">
        <f>AV63-AP63</f>
        <v>1703</v>
      </c>
      <c r="AT63" s="15">
        <f t="shared" ref="AT63:AT64" si="409">(AS63/AR63-1)*100</f>
        <v>-17.769193626267498</v>
      </c>
      <c r="AU63" s="22">
        <v>22990</v>
      </c>
      <c r="AV63" s="22">
        <v>20503</v>
      </c>
      <c r="AW63" s="15">
        <f t="shared" ref="AW63:AW64" si="410">(AV63/AU63-1)*100</f>
        <v>-10.817746846454979</v>
      </c>
      <c r="AX63" s="23">
        <f>BA63-AU63</f>
        <v>1586</v>
      </c>
      <c r="AY63" s="22">
        <f>BB63-AV63</f>
        <v>1762</v>
      </c>
      <c r="AZ63" s="15">
        <f t="shared" ref="AZ63:AZ64" si="411">(AY63/AX63-1)*100</f>
        <v>11.097099621689788</v>
      </c>
      <c r="BA63" s="22">
        <v>24576</v>
      </c>
      <c r="BB63" s="22">
        <v>22265</v>
      </c>
      <c r="BC63" s="15">
        <f t="shared" ref="BC63:BC64" si="412">(BB63/BA63-1)*100</f>
        <v>-9.4034830729166625</v>
      </c>
      <c r="BD63" s="23">
        <f>BG63-BA63</f>
        <v>3322</v>
      </c>
      <c r="BE63" s="22">
        <f>BH63-BB63</f>
        <v>3019</v>
      </c>
      <c r="BF63" s="15">
        <f t="shared" ref="BF63:BF64" si="413">(BE63/BD63-1)*100</f>
        <v>-9.1210114388922356</v>
      </c>
      <c r="BG63" s="22">
        <v>27898</v>
      </c>
      <c r="BH63" s="22">
        <v>25284</v>
      </c>
      <c r="BI63" s="15">
        <f t="shared" ref="BI63:BI64" si="414">(BH63/BG63-1)*100</f>
        <v>-9.3698473008817835</v>
      </c>
      <c r="BJ63" s="23">
        <f>BM63-BG63</f>
        <v>4433</v>
      </c>
      <c r="BK63" s="22">
        <f>BN63-BH63</f>
        <v>8074</v>
      </c>
      <c r="BL63" s="15">
        <f t="shared" ref="BL63:BL64" si="415">(BK63/BJ63-1)*100</f>
        <v>82.133995037220856</v>
      </c>
      <c r="BM63" s="22">
        <v>32331</v>
      </c>
      <c r="BN63" s="22">
        <v>33358</v>
      </c>
      <c r="BO63" s="15">
        <f t="shared" ref="BO63:BO64" si="416">(BN63/BM63-1)*100</f>
        <v>3.1765178930438287</v>
      </c>
      <c r="BP63" s="23">
        <f>BS63-BM63</f>
        <v>2936</v>
      </c>
      <c r="BQ63" s="22">
        <f>BT63-BN63</f>
        <v>1992</v>
      </c>
      <c r="BR63" s="15">
        <f t="shared" ref="BR63:BR64" si="417">(BQ63/BP63-1)*100</f>
        <v>-32.152588555858308</v>
      </c>
      <c r="BS63" s="22">
        <v>35267</v>
      </c>
      <c r="BT63" s="22">
        <v>35350</v>
      </c>
      <c r="BU63" s="15">
        <f t="shared" ref="BU63:BU64" si="418">(BT63/BS63-1)*100</f>
        <v>0.23534749198967919</v>
      </c>
      <c r="BV63" s="23">
        <f>BY63-BS63</f>
        <v>11315</v>
      </c>
      <c r="BW63" s="22">
        <f>BZ63-BT63</f>
        <v>4421</v>
      </c>
      <c r="BX63" s="15">
        <f t="shared" ref="BX63:BX64" si="419">(BW63/BV63-1)*100</f>
        <v>-60.927971718957139</v>
      </c>
      <c r="BY63" s="22">
        <v>46582</v>
      </c>
      <c r="BZ63" s="22">
        <v>39771</v>
      </c>
      <c r="CA63" s="15">
        <f t="shared" ref="CA63:CA64" si="420">(BZ63/BY63-1)*100</f>
        <v>-14.621527628697784</v>
      </c>
      <c r="CB63" s="6"/>
    </row>
    <row r="64" spans="1:80" s="1" customFormat="1" ht="19.5" customHeight="1">
      <c r="A64" s="165"/>
      <c r="B64" s="167"/>
      <c r="C64" s="33" t="s">
        <v>104</v>
      </c>
      <c r="D64" s="17">
        <v>4534626</v>
      </c>
      <c r="E64" s="17">
        <v>1636283</v>
      </c>
      <c r="F64" s="17">
        <v>1491826</v>
      </c>
      <c r="G64" s="17">
        <v>897024</v>
      </c>
      <c r="H64" s="17">
        <v>775721</v>
      </c>
      <c r="I64" s="17">
        <v>2099887</v>
      </c>
      <c r="J64" s="17">
        <v>825989</v>
      </c>
      <c r="K64" s="17">
        <v>11192</v>
      </c>
      <c r="L64" s="17">
        <v>65538</v>
      </c>
      <c r="M64" s="18">
        <f t="shared" si="0"/>
        <v>485.57898498927807</v>
      </c>
      <c r="N64" s="14">
        <f>Q64-K64</f>
        <v>77210</v>
      </c>
      <c r="O64" s="14">
        <f>R64-L64</f>
        <v>87189</v>
      </c>
      <c r="P64" s="18">
        <f t="shared" si="1"/>
        <v>12.924491646159829</v>
      </c>
      <c r="Q64" s="17">
        <v>88402</v>
      </c>
      <c r="R64" s="17">
        <v>152727</v>
      </c>
      <c r="S64" s="18">
        <f t="shared" si="2"/>
        <v>72.764190855410504</v>
      </c>
      <c r="T64" s="14">
        <f>W64-Q64</f>
        <v>97624</v>
      </c>
      <c r="U64" s="14">
        <f>X64-R64</f>
        <v>933804</v>
      </c>
      <c r="V64" s="18">
        <f t="shared" si="401"/>
        <v>856.53118085716619</v>
      </c>
      <c r="W64" s="17">
        <v>186026</v>
      </c>
      <c r="X64" s="17">
        <v>1086531</v>
      </c>
      <c r="Y64" s="18">
        <f t="shared" si="402"/>
        <v>484.07480674744392</v>
      </c>
      <c r="Z64" s="14">
        <f>AC64-W64</f>
        <v>46419</v>
      </c>
      <c r="AA64" s="14">
        <f>AD64-X64</f>
        <v>61268</v>
      </c>
      <c r="AB64" s="18">
        <f t="shared" si="403"/>
        <v>31.98905620543313</v>
      </c>
      <c r="AC64" s="17">
        <v>232445</v>
      </c>
      <c r="AD64" s="17">
        <v>1147799</v>
      </c>
      <c r="AE64" s="18">
        <f t="shared" si="404"/>
        <v>393.79380068403282</v>
      </c>
      <c r="AF64" s="14">
        <f>AI64-AC64</f>
        <v>92556</v>
      </c>
      <c r="AG64" s="14">
        <f>AJ64-AD64</f>
        <v>78627</v>
      </c>
      <c r="AH64" s="18">
        <f t="shared" si="405"/>
        <v>-15.049267470504347</v>
      </c>
      <c r="AI64" s="17">
        <v>325001</v>
      </c>
      <c r="AJ64" s="17">
        <v>1226426</v>
      </c>
      <c r="AK64" s="18">
        <f t="shared" si="406"/>
        <v>277.36068504404602</v>
      </c>
      <c r="AL64" s="14">
        <f>AO64-AI64</f>
        <v>95302</v>
      </c>
      <c r="AM64" s="14">
        <f>AP64-AJ64</f>
        <v>20484</v>
      </c>
      <c r="AN64" s="18">
        <f t="shared" si="407"/>
        <v>-78.506222324820058</v>
      </c>
      <c r="AO64" s="17">
        <v>420303</v>
      </c>
      <c r="AP64" s="17">
        <v>1246910</v>
      </c>
      <c r="AQ64" s="18">
        <f t="shared" si="408"/>
        <v>196.66930761855136</v>
      </c>
      <c r="AR64" s="14">
        <f>AU64-AO64</f>
        <v>36104</v>
      </c>
      <c r="AS64" s="14">
        <f>AV64-AP64</f>
        <v>35052</v>
      </c>
      <c r="AT64" s="18">
        <f t="shared" si="409"/>
        <v>-2.9138045645911825</v>
      </c>
      <c r="AU64" s="17">
        <v>456407</v>
      </c>
      <c r="AV64" s="17">
        <v>1281962</v>
      </c>
      <c r="AW64" s="18">
        <f t="shared" si="410"/>
        <v>180.88131864761058</v>
      </c>
      <c r="AX64" s="14">
        <f>BA64-AU64</f>
        <v>35960</v>
      </c>
      <c r="AY64" s="14">
        <f>BB64-AV64</f>
        <v>37667</v>
      </c>
      <c r="AZ64" s="18">
        <f t="shared" si="411"/>
        <v>4.7469410456062233</v>
      </c>
      <c r="BA64" s="17">
        <v>492367</v>
      </c>
      <c r="BB64" s="17">
        <v>1319629</v>
      </c>
      <c r="BC64" s="18">
        <f t="shared" si="412"/>
        <v>168.01735290951666</v>
      </c>
      <c r="BD64" s="14">
        <f>BG64-BA64</f>
        <v>52204</v>
      </c>
      <c r="BE64" s="14">
        <f>BH64-BB64</f>
        <v>74561</v>
      </c>
      <c r="BF64" s="18">
        <f t="shared" si="413"/>
        <v>42.826220213010501</v>
      </c>
      <c r="BG64" s="17">
        <v>544571</v>
      </c>
      <c r="BH64" s="17">
        <v>1394190</v>
      </c>
      <c r="BI64" s="18">
        <f t="shared" si="414"/>
        <v>156.01620358043303</v>
      </c>
      <c r="BJ64" s="14">
        <f>BM64-BG64</f>
        <v>82657</v>
      </c>
      <c r="BK64" s="14">
        <f>BN64-BH64</f>
        <v>131609</v>
      </c>
      <c r="BL64" s="18">
        <f t="shared" si="415"/>
        <v>59.223054308769974</v>
      </c>
      <c r="BM64" s="17">
        <v>627228</v>
      </c>
      <c r="BN64" s="17">
        <v>1525799</v>
      </c>
      <c r="BO64" s="18">
        <f t="shared" si="416"/>
        <v>143.26066438360533</v>
      </c>
      <c r="BP64" s="14">
        <f>BS64-BM64</f>
        <v>52172</v>
      </c>
      <c r="BQ64" s="14">
        <f>BT64-BN64</f>
        <v>49339</v>
      </c>
      <c r="BR64" s="18">
        <f t="shared" si="417"/>
        <v>-5.4301157709116037</v>
      </c>
      <c r="BS64" s="17">
        <v>679400</v>
      </c>
      <c r="BT64" s="17">
        <v>1575138</v>
      </c>
      <c r="BU64" s="18">
        <f t="shared" si="418"/>
        <v>131.84250809537826</v>
      </c>
      <c r="BV64" s="14">
        <f>BY64-BS64</f>
        <v>146589</v>
      </c>
      <c r="BW64" s="14">
        <f>BZ64-BT64</f>
        <v>90649</v>
      </c>
      <c r="BX64" s="18">
        <f t="shared" si="419"/>
        <v>-38.161117137029379</v>
      </c>
      <c r="BY64" s="17">
        <v>825989</v>
      </c>
      <c r="BZ64" s="17">
        <v>1665787</v>
      </c>
      <c r="CA64" s="18">
        <f t="shared" si="420"/>
        <v>101.67181403142172</v>
      </c>
      <c r="CB64" s="6"/>
    </row>
    <row r="65" spans="1:80" s="1" customFormat="1" ht="19.5" customHeight="1" thickBot="1">
      <c r="A65" s="166"/>
      <c r="B65" s="168"/>
      <c r="C65" s="34" t="s">
        <v>105</v>
      </c>
      <c r="D65" s="19">
        <f t="shared" ref="D65:L65" si="421">D64/D63</f>
        <v>36.098536833893235</v>
      </c>
      <c r="E65" s="19">
        <f t="shared" si="421"/>
        <v>24.683707949917032</v>
      </c>
      <c r="F65" s="19">
        <f t="shared" si="421"/>
        <v>28.796394240049416</v>
      </c>
      <c r="G65" s="19">
        <f t="shared" si="421"/>
        <v>29.609638554216868</v>
      </c>
      <c r="H65" s="20">
        <f>H64/H63</f>
        <v>25.363621501438661</v>
      </c>
      <c r="I65" s="20">
        <f>I64/I63</f>
        <v>10.572544142747097</v>
      </c>
      <c r="J65" s="20">
        <f>J64/J63</f>
        <v>17.731935082220602</v>
      </c>
      <c r="K65" s="20">
        <f t="shared" si="421"/>
        <v>37.306666666666665</v>
      </c>
      <c r="L65" s="20">
        <f t="shared" si="421"/>
        <v>21.795144662454273</v>
      </c>
      <c r="M65" s="47"/>
      <c r="N65" s="20">
        <f>N64/N63</f>
        <v>19.399497487437184</v>
      </c>
      <c r="O65" s="20">
        <f>O64/O63</f>
        <v>19.505369127516779</v>
      </c>
      <c r="P65" s="47"/>
      <c r="Q65" s="20">
        <f>Q64/Q63</f>
        <v>20.65467289719626</v>
      </c>
      <c r="R65" s="20">
        <f>R64/R63</f>
        <v>20.426240470777049</v>
      </c>
      <c r="S65" s="47"/>
      <c r="T65" s="20">
        <f>T64/T63</f>
        <v>20.669913190768579</v>
      </c>
      <c r="U65" s="20">
        <f>U64/U63</f>
        <v>284.52285191956122</v>
      </c>
      <c r="V65" s="47"/>
      <c r="W65" s="20">
        <f>W64/W63</f>
        <v>20.662667999555705</v>
      </c>
      <c r="X65" s="20">
        <f>X64/X63</f>
        <v>100.98810298354866</v>
      </c>
      <c r="Y65" s="47"/>
      <c r="Z65" s="20">
        <f>Z64/Z63</f>
        <v>25.70265780730897</v>
      </c>
      <c r="AA65" s="20">
        <f>AA64/AA63</f>
        <v>20.960656859391037</v>
      </c>
      <c r="AB65" s="47"/>
      <c r="AC65" s="20">
        <f>AC64/AC63</f>
        <v>21.5047645480618</v>
      </c>
      <c r="AD65" s="20">
        <f>AD64/AD63</f>
        <v>83.89117088145008</v>
      </c>
      <c r="AE65" s="47"/>
      <c r="AF65" s="20">
        <f>AF64/AF63</f>
        <v>19.371285056508999</v>
      </c>
      <c r="AG65" s="20">
        <f>AG64/AG63</f>
        <v>19.121352140077821</v>
      </c>
      <c r="AH65" s="47"/>
      <c r="AI65" s="20">
        <f>AI64/AI63</f>
        <v>20.850773080130878</v>
      </c>
      <c r="AJ65" s="20">
        <f>AJ64/AJ63</f>
        <v>68.923569742609871</v>
      </c>
      <c r="AK65" s="47"/>
      <c r="AL65" s="20">
        <f>AL64/AL63</f>
        <v>17.873593398349588</v>
      </c>
      <c r="AM65" s="20">
        <f>AM64/AM63</f>
        <v>20.36182902584493</v>
      </c>
      <c r="AN65" s="47"/>
      <c r="AO65" s="20">
        <f>AO64/AO63</f>
        <v>20.091926000286822</v>
      </c>
      <c r="AP65" s="20">
        <f>AP64/AP63</f>
        <v>66.325000000000003</v>
      </c>
      <c r="AQ65" s="47"/>
      <c r="AR65" s="20">
        <f>AR64/AR63</f>
        <v>17.43312409464027</v>
      </c>
      <c r="AS65" s="20">
        <f>AS64/AS63</f>
        <v>20.582501467997652</v>
      </c>
      <c r="AT65" s="47"/>
      <c r="AU65" s="20">
        <f>AU64/AU63</f>
        <v>19.852414093083951</v>
      </c>
      <c r="AV65" s="20">
        <f>AV64/AV63</f>
        <v>62.525581622201628</v>
      </c>
      <c r="AW65" s="47"/>
      <c r="AX65" s="20">
        <f>AX64/AX63</f>
        <v>22.673392181588902</v>
      </c>
      <c r="AY65" s="20">
        <f>AY64/AY63</f>
        <v>21.377412031782065</v>
      </c>
      <c r="AZ65" s="47"/>
      <c r="BA65" s="20">
        <f>BA64/BA63</f>
        <v>20.034464518229168</v>
      </c>
      <c r="BB65" s="20">
        <f>BB64/BB63</f>
        <v>59.269211767347855</v>
      </c>
      <c r="BC65" s="47"/>
      <c r="BD65" s="20">
        <f>BD64/BD63</f>
        <v>15.714629741119808</v>
      </c>
      <c r="BE65" s="20">
        <f>BE64/BE63</f>
        <v>24.697250745279895</v>
      </c>
      <c r="BF65" s="47"/>
      <c r="BG65" s="20">
        <f>BG64/BG63</f>
        <v>19.520073123521399</v>
      </c>
      <c r="BH65" s="20">
        <f>BH64/BH63</f>
        <v>55.14119601328904</v>
      </c>
      <c r="BI65" s="47"/>
      <c r="BJ65" s="20">
        <f>BJ64/BJ63</f>
        <v>18.645838032934808</v>
      </c>
      <c r="BK65" s="20">
        <f>BK64/BK63</f>
        <v>16.300346792172405</v>
      </c>
      <c r="BL65" s="47"/>
      <c r="BM65" s="20">
        <f>BM64/BM63</f>
        <v>19.40020413844298</v>
      </c>
      <c r="BN65" s="20">
        <f>BN64/BN63</f>
        <v>45.740122309490978</v>
      </c>
      <c r="BO65" s="47"/>
      <c r="BP65" s="20">
        <f>BP64/BP63</f>
        <v>17.769754768392371</v>
      </c>
      <c r="BQ65" s="20">
        <f>BQ64/BQ63</f>
        <v>24.768574297188756</v>
      </c>
      <c r="BR65" s="47"/>
      <c r="BS65" s="20">
        <f>BS64/BS63</f>
        <v>19.264468199733461</v>
      </c>
      <c r="BT65" s="20">
        <f>BT64/BT63</f>
        <v>44.558359264497881</v>
      </c>
      <c r="BU65" s="47"/>
      <c r="BV65" s="20">
        <f>BV64/BV63</f>
        <v>12.955280600972161</v>
      </c>
      <c r="BW65" s="20">
        <f>BW64/BW63</f>
        <v>20.504184573625878</v>
      </c>
      <c r="BX65" s="47"/>
      <c r="BY65" s="20">
        <f>BY64/BY63</f>
        <v>17.731935082220602</v>
      </c>
      <c r="BZ65" s="20">
        <f>BZ64/BZ63</f>
        <v>41.884463553845769</v>
      </c>
      <c r="CA65" s="47"/>
      <c r="CB65" s="6"/>
    </row>
    <row r="66" spans="1:80" s="1" customFormat="1" ht="19.5" customHeight="1">
      <c r="A66" s="164" t="s">
        <v>101</v>
      </c>
      <c r="B66" s="133" t="s">
        <v>77</v>
      </c>
      <c r="C66" s="32" t="s">
        <v>42</v>
      </c>
      <c r="D66" s="22">
        <v>3420219</v>
      </c>
      <c r="E66" s="22">
        <v>3509623</v>
      </c>
      <c r="F66" s="22">
        <v>3094217</v>
      </c>
      <c r="G66" s="22">
        <v>3071069</v>
      </c>
      <c r="H66" s="22">
        <v>2013335</v>
      </c>
      <c r="I66" s="22">
        <v>1968588</v>
      </c>
      <c r="J66" s="22">
        <v>2544727</v>
      </c>
      <c r="K66" s="22">
        <v>137283</v>
      </c>
      <c r="L66" s="22">
        <v>195227</v>
      </c>
      <c r="M66" s="15">
        <f t="shared" si="0"/>
        <v>42.207702337507193</v>
      </c>
      <c r="N66" s="23">
        <f>Q66-K66</f>
        <v>298651</v>
      </c>
      <c r="O66" s="22">
        <f>R66-L66</f>
        <v>183000</v>
      </c>
      <c r="P66" s="15">
        <f t="shared" si="1"/>
        <v>-38.724464341321472</v>
      </c>
      <c r="Q66" s="22">
        <v>435934</v>
      </c>
      <c r="R66" s="22">
        <v>378227</v>
      </c>
      <c r="S66" s="15">
        <f t="shared" si="2"/>
        <v>-13.237554308679755</v>
      </c>
      <c r="T66" s="23">
        <f>W66-Q66</f>
        <v>132604</v>
      </c>
      <c r="U66" s="22">
        <f>X66-R66</f>
        <v>236000</v>
      </c>
      <c r="V66" s="15">
        <f t="shared" ref="V66:V67" si="422">(U66/T66-1)*100</f>
        <v>77.973515127748797</v>
      </c>
      <c r="W66" s="22">
        <v>568538</v>
      </c>
      <c r="X66" s="22">
        <v>614227</v>
      </c>
      <c r="Y66" s="15">
        <f t="shared" ref="Y66:Y67" si="423">(X66/W66-1)*100</f>
        <v>8.0362262504880988</v>
      </c>
      <c r="Z66" s="23">
        <f>AC66-W66</f>
        <v>191506</v>
      </c>
      <c r="AA66" s="22">
        <f>AD66-X66</f>
        <v>297211</v>
      </c>
      <c r="AB66" s="15">
        <f t="shared" ref="AB66:AB67" si="424">(AA66/Z66-1)*100</f>
        <v>55.196704019717387</v>
      </c>
      <c r="AC66" s="22">
        <v>760044</v>
      </c>
      <c r="AD66" s="22">
        <v>911438</v>
      </c>
      <c r="AE66" s="15">
        <f t="shared" ref="AE66:AE67" si="425">(AD66/AC66-1)*100</f>
        <v>19.919109946266268</v>
      </c>
      <c r="AF66" s="23">
        <f>AI66-AC66</f>
        <v>256756</v>
      </c>
      <c r="AG66" s="22">
        <f>AJ66-AD66</f>
        <v>314689</v>
      </c>
      <c r="AH66" s="15">
        <f t="shared" ref="AH66:AH67" si="426">(AG66/AF66-1)*100</f>
        <v>22.563445450155008</v>
      </c>
      <c r="AI66" s="22">
        <v>1016800</v>
      </c>
      <c r="AJ66" s="22">
        <v>1226127</v>
      </c>
      <c r="AK66" s="15">
        <f t="shared" ref="AK66:AK67" si="427">(AJ66/AI66-1)*100</f>
        <v>20.586841070023599</v>
      </c>
      <c r="AL66" s="23">
        <f>AO66-AI66</f>
        <v>214397</v>
      </c>
      <c r="AM66" s="22">
        <f>AP66-AJ66</f>
        <v>256399</v>
      </c>
      <c r="AN66" s="15">
        <f t="shared" ref="AN66:AN67" si="428">(AM66/AL66-1)*100</f>
        <v>19.590759199055952</v>
      </c>
      <c r="AO66" s="22">
        <v>1231197</v>
      </c>
      <c r="AP66" s="22">
        <v>1482526</v>
      </c>
      <c r="AQ66" s="15">
        <f t="shared" ref="AQ66:AQ67" si="429">(AP66/AO66-1)*100</f>
        <v>20.413386322416315</v>
      </c>
      <c r="AR66" s="23">
        <f>AU66-AO66</f>
        <v>81861</v>
      </c>
      <c r="AS66" s="22">
        <f>AV66-AP66</f>
        <v>215051</v>
      </c>
      <c r="AT66" s="15">
        <f t="shared" ref="AT66:AT67" si="430">(AS66/AR66-1)*100</f>
        <v>162.70263006804217</v>
      </c>
      <c r="AU66" s="22">
        <v>1313058</v>
      </c>
      <c r="AV66" s="22">
        <v>1697577</v>
      </c>
      <c r="AW66" s="15">
        <f t="shared" ref="AW66:AW67" si="431">(AV66/AU66-1)*100</f>
        <v>29.284235730637942</v>
      </c>
      <c r="AX66" s="23">
        <f>BA66-AU66</f>
        <v>257004</v>
      </c>
      <c r="AY66" s="22">
        <f>BB66-AV66</f>
        <v>304561</v>
      </c>
      <c r="AZ66" s="15">
        <f t="shared" ref="AZ66:AZ67" si="432">(AY66/AX66-1)*100</f>
        <v>18.504381254766457</v>
      </c>
      <c r="BA66" s="22">
        <v>1570062</v>
      </c>
      <c r="BB66" s="22">
        <v>2002138</v>
      </c>
      <c r="BC66" s="15">
        <f t="shared" ref="BC66:BC67" si="433">(BB66/BA66-1)*100</f>
        <v>27.519677566873145</v>
      </c>
      <c r="BD66" s="23">
        <f>BG66-BA66</f>
        <v>181312</v>
      </c>
      <c r="BE66" s="22">
        <f>BH66-BB66</f>
        <v>347721</v>
      </c>
      <c r="BF66" s="15">
        <f t="shared" ref="BF66:BF67" si="434">(BE66/BD66-1)*100</f>
        <v>91.780466819625843</v>
      </c>
      <c r="BG66" s="22">
        <v>1751374</v>
      </c>
      <c r="BH66" s="22">
        <v>2349859</v>
      </c>
      <c r="BI66" s="15">
        <f t="shared" ref="BI66:BI67" si="435">(BH66/BG66-1)*100</f>
        <v>34.172312709906613</v>
      </c>
      <c r="BJ66" s="23">
        <f>BM66-BG66</f>
        <v>198135</v>
      </c>
      <c r="BK66" s="22">
        <f>BN66-BH66</f>
        <v>202071</v>
      </c>
      <c r="BL66" s="15">
        <f t="shared" ref="BL66:BL67" si="436">(BK66/BJ66-1)*100</f>
        <v>1.9865243394655119</v>
      </c>
      <c r="BM66" s="22">
        <v>1949509</v>
      </c>
      <c r="BN66" s="22">
        <v>2551930</v>
      </c>
      <c r="BO66" s="15">
        <f t="shared" ref="BO66:BO67" si="437">(BN66/BM66-1)*100</f>
        <v>30.901165370357365</v>
      </c>
      <c r="BP66" s="23">
        <f>BS66-BM66</f>
        <v>377694</v>
      </c>
      <c r="BQ66" s="22">
        <f>BT66-BN66</f>
        <v>331071</v>
      </c>
      <c r="BR66" s="15">
        <f t="shared" ref="BR66:BR67" si="438">(BQ66/BP66-1)*100</f>
        <v>-12.344119843047551</v>
      </c>
      <c r="BS66" s="22">
        <v>2327203</v>
      </c>
      <c r="BT66" s="22">
        <v>2883001</v>
      </c>
      <c r="BU66" s="15">
        <f t="shared" ref="BU66:BU67" si="439">(BT66/BS66-1)*100</f>
        <v>23.882660859409334</v>
      </c>
      <c r="BV66" s="23">
        <f>BY66-BS66</f>
        <v>217524</v>
      </c>
      <c r="BW66" s="22">
        <f>BZ66-BT66</f>
        <v>213511</v>
      </c>
      <c r="BX66" s="15">
        <f t="shared" ref="BX66:BX67" si="440">(BW66/BV66-1)*100</f>
        <v>-1.8448539011787224</v>
      </c>
      <c r="BY66" s="22">
        <v>2544727</v>
      </c>
      <c r="BZ66" s="22">
        <v>3096512</v>
      </c>
      <c r="CA66" s="15">
        <f t="shared" ref="CA66:CA67" si="441">(BZ66/BY66-1)*100</f>
        <v>21.683465456215934</v>
      </c>
      <c r="CB66" s="6"/>
    </row>
    <row r="67" spans="1:80" s="1" customFormat="1" ht="19.5" customHeight="1">
      <c r="A67" s="154"/>
      <c r="B67" s="115"/>
      <c r="C67" s="33" t="s">
        <v>104</v>
      </c>
      <c r="D67" s="17">
        <v>16601433</v>
      </c>
      <c r="E67" s="17">
        <v>27932627</v>
      </c>
      <c r="F67" s="17">
        <v>41111685</v>
      </c>
      <c r="G67" s="17">
        <v>34593027</v>
      </c>
      <c r="H67" s="17">
        <v>20012805</v>
      </c>
      <c r="I67" s="17">
        <v>17301139</v>
      </c>
      <c r="J67" s="17">
        <v>18180414</v>
      </c>
      <c r="K67" s="17">
        <v>1176972</v>
      </c>
      <c r="L67" s="17">
        <v>1078104</v>
      </c>
      <c r="M67" s="18">
        <f t="shared" si="0"/>
        <v>-8.4001998348303903</v>
      </c>
      <c r="N67" s="14">
        <f>Q67-K67</f>
        <v>2383513</v>
      </c>
      <c r="O67" s="14">
        <f>R67-L67</f>
        <v>953587</v>
      </c>
      <c r="P67" s="18">
        <f t="shared" si="1"/>
        <v>-59.992372602960423</v>
      </c>
      <c r="Q67" s="17">
        <v>3560485</v>
      </c>
      <c r="R67" s="17">
        <v>2031691</v>
      </c>
      <c r="S67" s="18">
        <f t="shared" si="2"/>
        <v>-42.937802012928017</v>
      </c>
      <c r="T67" s="14">
        <f>W67-Q67</f>
        <v>1006626</v>
      </c>
      <c r="U67" s="14">
        <f>X67-R67</f>
        <v>1227483</v>
      </c>
      <c r="V67" s="18">
        <f t="shared" si="422"/>
        <v>21.940323417038709</v>
      </c>
      <c r="W67" s="17">
        <v>4567111</v>
      </c>
      <c r="X67" s="17">
        <v>3259174</v>
      </c>
      <c r="Y67" s="18">
        <f t="shared" si="423"/>
        <v>-28.638169731368468</v>
      </c>
      <c r="Z67" s="14">
        <f>AC67-W67</f>
        <v>1409032</v>
      </c>
      <c r="AA67" s="14">
        <f>AD67-X67</f>
        <v>1511724</v>
      </c>
      <c r="AB67" s="18">
        <f t="shared" si="424"/>
        <v>7.2881240454439666</v>
      </c>
      <c r="AC67" s="17">
        <v>5976143</v>
      </c>
      <c r="AD67" s="17">
        <v>4770898</v>
      </c>
      <c r="AE67" s="18">
        <f t="shared" si="425"/>
        <v>-20.167606431104478</v>
      </c>
      <c r="AF67" s="14">
        <f>AI67-AC67</f>
        <v>1981880</v>
      </c>
      <c r="AG67" s="14">
        <f>AJ67-AD67</f>
        <v>1643958</v>
      </c>
      <c r="AH67" s="18">
        <f t="shared" si="426"/>
        <v>-17.050578238843926</v>
      </c>
      <c r="AI67" s="17">
        <v>7958023</v>
      </c>
      <c r="AJ67" s="17">
        <v>6414856</v>
      </c>
      <c r="AK67" s="18">
        <f t="shared" si="427"/>
        <v>-19.391336265301064</v>
      </c>
      <c r="AL67" s="14">
        <f>AO67-AI67</f>
        <v>1647001</v>
      </c>
      <c r="AM67" s="14">
        <f>AP67-AJ67</f>
        <v>1459062</v>
      </c>
      <c r="AN67" s="18">
        <f t="shared" si="428"/>
        <v>-11.410982749858679</v>
      </c>
      <c r="AO67" s="17">
        <v>9605024</v>
      </c>
      <c r="AP67" s="17">
        <v>7873918</v>
      </c>
      <c r="AQ67" s="18">
        <f t="shared" si="429"/>
        <v>-18.022922170730649</v>
      </c>
      <c r="AR67" s="14">
        <f>AU67-AO67</f>
        <v>680225</v>
      </c>
      <c r="AS67" s="14">
        <f>AV67-AP67</f>
        <v>1227185</v>
      </c>
      <c r="AT67" s="18">
        <f t="shared" si="430"/>
        <v>80.408688301664895</v>
      </c>
      <c r="AU67" s="17">
        <v>10285249</v>
      </c>
      <c r="AV67" s="17">
        <v>9101103</v>
      </c>
      <c r="AW67" s="18">
        <f t="shared" si="431"/>
        <v>-11.513051361226157</v>
      </c>
      <c r="AX67" s="14">
        <f>BA67-AU67</f>
        <v>1799765</v>
      </c>
      <c r="AY67" s="14">
        <f>BB67-AV67</f>
        <v>1743856</v>
      </c>
      <c r="AZ67" s="18">
        <f t="shared" si="432"/>
        <v>-3.1064611213130644</v>
      </c>
      <c r="BA67" s="17">
        <v>12085014</v>
      </c>
      <c r="BB67" s="17">
        <v>10844959</v>
      </c>
      <c r="BC67" s="18">
        <f t="shared" si="433"/>
        <v>-10.261096925497981</v>
      </c>
      <c r="BD67" s="14">
        <f>BG67-BA67</f>
        <v>1296452</v>
      </c>
      <c r="BE67" s="14">
        <f>BH67-BB67</f>
        <v>2097476</v>
      </c>
      <c r="BF67" s="18">
        <f t="shared" si="434"/>
        <v>61.785858635722725</v>
      </c>
      <c r="BG67" s="17">
        <v>13381466</v>
      </c>
      <c r="BH67" s="17">
        <v>12942435</v>
      </c>
      <c r="BI67" s="18">
        <f t="shared" si="435"/>
        <v>-3.2808886559962835</v>
      </c>
      <c r="BJ67" s="14">
        <f>BM67-BG67</f>
        <v>1305988</v>
      </c>
      <c r="BK67" s="14">
        <f>BN67-BH67</f>
        <v>1339684</v>
      </c>
      <c r="BL67" s="18">
        <f t="shared" si="436"/>
        <v>2.5801155906486128</v>
      </c>
      <c r="BM67" s="17">
        <v>14687454</v>
      </c>
      <c r="BN67" s="17">
        <v>14282119</v>
      </c>
      <c r="BO67" s="18">
        <f t="shared" si="437"/>
        <v>-2.759736302833693</v>
      </c>
      <c r="BP67" s="14">
        <f>BS67-BM67</f>
        <v>2229812</v>
      </c>
      <c r="BQ67" s="14">
        <f>BT67-BN67</f>
        <v>2227097</v>
      </c>
      <c r="BR67" s="18">
        <f t="shared" si="438"/>
        <v>-0.12175914382019926</v>
      </c>
      <c r="BS67" s="17">
        <v>16917266</v>
      </c>
      <c r="BT67" s="17">
        <v>16509216</v>
      </c>
      <c r="BU67" s="18">
        <f t="shared" si="439"/>
        <v>-2.4120327717256473</v>
      </c>
      <c r="BV67" s="14">
        <f>BY67-BS67</f>
        <v>1263148</v>
      </c>
      <c r="BW67" s="14">
        <f>BZ67-BT67</f>
        <v>1481312</v>
      </c>
      <c r="BX67" s="18">
        <f t="shared" si="440"/>
        <v>17.271451959707008</v>
      </c>
      <c r="BY67" s="17">
        <v>18180414</v>
      </c>
      <c r="BZ67" s="17">
        <v>17990528</v>
      </c>
      <c r="CA67" s="18">
        <f t="shared" si="441"/>
        <v>-1.0444536631564083</v>
      </c>
      <c r="CB67" s="6"/>
    </row>
    <row r="68" spans="1:80" s="1" customFormat="1" ht="19.5" customHeight="1" thickBot="1">
      <c r="A68" s="155"/>
      <c r="B68" s="116"/>
      <c r="C68" s="34" t="s">
        <v>105</v>
      </c>
      <c r="D68" s="19">
        <f t="shared" ref="D68:L68" si="442">D67/D66</f>
        <v>4.8539093549272723</v>
      </c>
      <c r="E68" s="19">
        <f t="shared" si="442"/>
        <v>7.958868231716056</v>
      </c>
      <c r="F68" s="19">
        <f t="shared" si="442"/>
        <v>13.286619845990117</v>
      </c>
      <c r="G68" s="19">
        <f t="shared" si="442"/>
        <v>11.264164693141053</v>
      </c>
      <c r="H68" s="20">
        <f>H67/H66</f>
        <v>9.9401267051931246</v>
      </c>
      <c r="I68" s="20">
        <f>I67/I66</f>
        <v>8.7886033034845283</v>
      </c>
      <c r="J68" s="20">
        <f>J67/J66</f>
        <v>7.1443475076108358</v>
      </c>
      <c r="K68" s="20">
        <f t="shared" si="442"/>
        <v>8.5733266318480794</v>
      </c>
      <c r="L68" s="20">
        <f t="shared" si="442"/>
        <v>5.5223099263933779</v>
      </c>
      <c r="M68" s="47"/>
      <c r="N68" s="20">
        <f>N67/N66</f>
        <v>7.980930919367422</v>
      </c>
      <c r="O68" s="20">
        <f>O67/O66</f>
        <v>5.2108579234972678</v>
      </c>
      <c r="P68" s="47"/>
      <c r="Q68" s="20">
        <f>Q67/Q66</f>
        <v>8.1674863626145235</v>
      </c>
      <c r="R68" s="20">
        <f>R67/R66</f>
        <v>5.3716181023565213</v>
      </c>
      <c r="S68" s="47"/>
      <c r="T68" s="20">
        <f>T67/T66</f>
        <v>7.5912189677536119</v>
      </c>
      <c r="U68" s="20">
        <f>U67/U66</f>
        <v>5.2011991525423733</v>
      </c>
      <c r="V68" s="47"/>
      <c r="W68" s="20">
        <f>W67/W66</f>
        <v>8.0330795830709647</v>
      </c>
      <c r="X68" s="20">
        <f>X67/X66</f>
        <v>5.3061392612177585</v>
      </c>
      <c r="Y68" s="47"/>
      <c r="Z68" s="20">
        <f>Z67/Z66</f>
        <v>7.3576389251511705</v>
      </c>
      <c r="AA68" s="20">
        <f>AA67/AA66</f>
        <v>5.0863662515855737</v>
      </c>
      <c r="AB68" s="47"/>
      <c r="AC68" s="20">
        <f>AC67/AC66</f>
        <v>7.8628908326360056</v>
      </c>
      <c r="AD68" s="20">
        <f>AD67/AD66</f>
        <v>5.2344734364816912</v>
      </c>
      <c r="AE68" s="47"/>
      <c r="AF68" s="20">
        <f>AF67/AF66</f>
        <v>7.7189238031438405</v>
      </c>
      <c r="AG68" s="20">
        <f>AG67/AG66</f>
        <v>5.2240720203121178</v>
      </c>
      <c r="AH68" s="47"/>
      <c r="AI68" s="20">
        <f>AI67/AI66</f>
        <v>7.8265371754523994</v>
      </c>
      <c r="AJ68" s="20">
        <f>AJ67/AJ66</f>
        <v>5.2318038832845213</v>
      </c>
      <c r="AK68" s="47"/>
      <c r="AL68" s="20">
        <f>AL67/AL66</f>
        <v>7.6820151401372216</v>
      </c>
      <c r="AM68" s="20">
        <f>AM67/AM66</f>
        <v>5.690591616971985</v>
      </c>
      <c r="AN68" s="47"/>
      <c r="AO68" s="20">
        <f>AO67/AO66</f>
        <v>7.8013705361530281</v>
      </c>
      <c r="AP68" s="20">
        <f>AP67/AP66</f>
        <v>5.3111500236758076</v>
      </c>
      <c r="AQ68" s="47"/>
      <c r="AR68" s="20">
        <f>AR67/AR66</f>
        <v>8.3095124662537714</v>
      </c>
      <c r="AS68" s="20">
        <f>AS67/AS66</f>
        <v>5.7064835783139811</v>
      </c>
      <c r="AT68" s="47"/>
      <c r="AU68" s="20">
        <f>AU67/AU66</f>
        <v>7.8330500252083306</v>
      </c>
      <c r="AV68" s="20">
        <f>AV67/AV66</f>
        <v>5.3612313314801039</v>
      </c>
      <c r="AW68" s="47"/>
      <c r="AX68" s="20">
        <f>AX67/AX66</f>
        <v>7.0028676596473209</v>
      </c>
      <c r="AY68" s="20">
        <f>AY67/AY66</f>
        <v>5.7258020560741523</v>
      </c>
      <c r="AZ68" s="47"/>
      <c r="BA68" s="20">
        <f>BA67/BA66</f>
        <v>7.6971571823278317</v>
      </c>
      <c r="BB68" s="20">
        <f>BB67/BB66</f>
        <v>5.4166890593955062</v>
      </c>
      <c r="BC68" s="47"/>
      <c r="BD68" s="20">
        <f>BD67/BD66</f>
        <v>7.1503926932580306</v>
      </c>
      <c r="BE68" s="20">
        <f>BE67/BE66</f>
        <v>6.0320659379214945</v>
      </c>
      <c r="BF68" s="47"/>
      <c r="BG68" s="20">
        <f>BG67/BG66</f>
        <v>7.6405530743290697</v>
      </c>
      <c r="BH68" s="20">
        <f>BH67/BH66</f>
        <v>5.5077496139130053</v>
      </c>
      <c r="BI68" s="47"/>
      <c r="BJ68" s="20">
        <f>BJ67/BJ66</f>
        <v>6.59140485022838</v>
      </c>
      <c r="BK68" s="20">
        <f>BK67/BK66</f>
        <v>6.6297687446491578</v>
      </c>
      <c r="BL68" s="47"/>
      <c r="BM68" s="20">
        <f>BM67/BM66</f>
        <v>7.5339246959106116</v>
      </c>
      <c r="BN68" s="20">
        <f>BN67/BN66</f>
        <v>5.5965951260418585</v>
      </c>
      <c r="BO68" s="47"/>
      <c r="BP68" s="20">
        <f>BP67/BP66</f>
        <v>5.9037527734091615</v>
      </c>
      <c r="BQ68" s="20">
        <f>BQ67/BQ66</f>
        <v>6.7269467878491325</v>
      </c>
      <c r="BR68" s="47"/>
      <c r="BS68" s="20">
        <f>BS67/BS66</f>
        <v>7.2693555310817324</v>
      </c>
      <c r="BT68" s="20">
        <f>BT67/BT66</f>
        <v>5.7263996786681659</v>
      </c>
      <c r="BU68" s="47"/>
      <c r="BV68" s="20">
        <f>BV67/BV66</f>
        <v>5.8069362461153711</v>
      </c>
      <c r="BW68" s="20">
        <f>BW67/BW66</f>
        <v>6.9378720534305023</v>
      </c>
      <c r="BX68" s="47"/>
      <c r="BY68" s="20">
        <f>BY67/BY66</f>
        <v>7.1443475076108358</v>
      </c>
      <c r="BZ68" s="20">
        <f>BZ67/BZ66</f>
        <v>5.8099332410144058</v>
      </c>
      <c r="CA68" s="47"/>
      <c r="CB68" s="6"/>
    </row>
    <row r="69" spans="1:80" s="1" customFormat="1" ht="19.5" customHeight="1">
      <c r="A69" s="169" t="s">
        <v>126</v>
      </c>
      <c r="B69" s="171" t="s">
        <v>78</v>
      </c>
      <c r="C69" s="32" t="s">
        <v>42</v>
      </c>
      <c r="D69" s="22">
        <v>1954121</v>
      </c>
      <c r="E69" s="22">
        <v>3258378</v>
      </c>
      <c r="F69" s="22">
        <v>3189555</v>
      </c>
      <c r="G69" s="22">
        <v>3977019</v>
      </c>
      <c r="H69" s="22">
        <v>3064655</v>
      </c>
      <c r="I69" s="22">
        <v>3027714</v>
      </c>
      <c r="J69" s="22">
        <v>3109963</v>
      </c>
      <c r="K69" s="22">
        <v>392308</v>
      </c>
      <c r="L69" s="22">
        <v>254907</v>
      </c>
      <c r="M69" s="15">
        <f t="shared" si="0"/>
        <v>-35.023756844112278</v>
      </c>
      <c r="N69" s="23">
        <f>Q69-K69</f>
        <v>194601</v>
      </c>
      <c r="O69" s="22">
        <f>R69-L69</f>
        <v>342151</v>
      </c>
      <c r="P69" s="15">
        <f t="shared" si="1"/>
        <v>75.821809754317798</v>
      </c>
      <c r="Q69" s="22">
        <v>586909</v>
      </c>
      <c r="R69" s="22">
        <v>597058</v>
      </c>
      <c r="S69" s="15">
        <f t="shared" si="2"/>
        <v>1.7292288923836496</v>
      </c>
      <c r="T69" s="23">
        <f>W69-Q69</f>
        <v>219512</v>
      </c>
      <c r="U69" s="22">
        <f>X69-R69</f>
        <v>1281456</v>
      </c>
      <c r="V69" s="15">
        <f t="shared" ref="V69" si="443">(U69/T69-1)*100</f>
        <v>483.77491891103898</v>
      </c>
      <c r="W69" s="22">
        <v>806421</v>
      </c>
      <c r="X69" s="22">
        <v>1878514</v>
      </c>
      <c r="Y69" s="15">
        <f t="shared" ref="Y69" si="444">(X69/W69-1)*100</f>
        <v>132.94457857620276</v>
      </c>
      <c r="Z69" s="23">
        <f>AC69-W69</f>
        <v>360150</v>
      </c>
      <c r="AA69" s="22">
        <f>AD69-X69</f>
        <v>168001</v>
      </c>
      <c r="AB69" s="15">
        <f t="shared" ref="AB69" si="445">(AA69/Z69-1)*100</f>
        <v>-53.352492017215049</v>
      </c>
      <c r="AC69" s="22">
        <v>1166571</v>
      </c>
      <c r="AD69" s="22">
        <v>2046515</v>
      </c>
      <c r="AE69" s="15">
        <f t="shared" ref="AE69" si="446">(AD69/AC69-1)*100</f>
        <v>75.42995668501959</v>
      </c>
      <c r="AF69" s="23">
        <f>AI69-AC69</f>
        <v>285416</v>
      </c>
      <c r="AG69" s="22">
        <f>AJ69-AD69</f>
        <v>136331</v>
      </c>
      <c r="AH69" s="15">
        <f t="shared" ref="AH69" si="447">(AG69/AF69-1)*100</f>
        <v>-52.234282591025028</v>
      </c>
      <c r="AI69" s="22">
        <v>1451987</v>
      </c>
      <c r="AJ69" s="22">
        <v>2182846</v>
      </c>
      <c r="AK69" s="15">
        <f t="shared" ref="AK69" si="448">(AJ69/AI69-1)*100</f>
        <v>50.33509253182018</v>
      </c>
      <c r="AL69" s="23">
        <f>AO69-AI69</f>
        <v>294466</v>
      </c>
      <c r="AM69" s="22">
        <f>AP69-AJ69</f>
        <v>284005</v>
      </c>
      <c r="AN69" s="15">
        <f t="shared" ref="AN69" si="449">(AM69/AL69-1)*100</f>
        <v>-3.5525323806483655</v>
      </c>
      <c r="AO69" s="22">
        <v>1746453</v>
      </c>
      <c r="AP69" s="22">
        <v>2466851</v>
      </c>
      <c r="AQ69" s="15">
        <f t="shared" ref="AQ69" si="450">(AP69/AO69-1)*100</f>
        <v>41.249206248321599</v>
      </c>
      <c r="AR69" s="23">
        <f>AU69-AO69</f>
        <v>157000</v>
      </c>
      <c r="AS69" s="22">
        <f>AV69-AP69</f>
        <v>258002</v>
      </c>
      <c r="AT69" s="15">
        <f t="shared" ref="AT69" si="451">(AS69/AR69-1)*100</f>
        <v>64.332484076433133</v>
      </c>
      <c r="AU69" s="22">
        <v>1903453</v>
      </c>
      <c r="AV69" s="22">
        <v>2724853</v>
      </c>
      <c r="AW69" s="15">
        <f t="shared" ref="AW69" si="452">(AV69/AU69-1)*100</f>
        <v>43.153153768440824</v>
      </c>
      <c r="AX69" s="23">
        <f>BA69-AU69</f>
        <v>170011</v>
      </c>
      <c r="AY69" s="22">
        <f>BB69-AV69</f>
        <v>252643</v>
      </c>
      <c r="AZ69" s="15">
        <f t="shared" ref="AZ69" si="453">(AY69/AX69-1)*100</f>
        <v>48.603913864397022</v>
      </c>
      <c r="BA69" s="22">
        <v>2073464</v>
      </c>
      <c r="BB69" s="22">
        <v>2977496</v>
      </c>
      <c r="BC69" s="15">
        <f t="shared" ref="BC69" si="454">(BB69/BA69-1)*100</f>
        <v>43.60008179548813</v>
      </c>
      <c r="BD69" s="23">
        <f>BG69-BA69</f>
        <v>434087</v>
      </c>
      <c r="BE69" s="22">
        <f>BH69-BB69</f>
        <v>180821</v>
      </c>
      <c r="BF69" s="15">
        <f t="shared" ref="BF69" si="455">(BE69/BD69-1)*100</f>
        <v>-58.34452540619737</v>
      </c>
      <c r="BG69" s="22">
        <v>2507551</v>
      </c>
      <c r="BH69" s="22">
        <v>3158317</v>
      </c>
      <c r="BI69" s="15">
        <f t="shared" ref="BI69" si="456">(BH69/BG69-1)*100</f>
        <v>25.95225381258448</v>
      </c>
      <c r="BJ69" s="23">
        <f>BM69-BG69</f>
        <v>344970</v>
      </c>
      <c r="BK69" s="22">
        <f>BN69-BH69</f>
        <v>324601</v>
      </c>
      <c r="BL69" s="15">
        <f t="shared" ref="BL69" si="457">(BK69/BJ69-1)*100</f>
        <v>-5.9045714120068427</v>
      </c>
      <c r="BM69" s="22">
        <v>2852521</v>
      </c>
      <c r="BN69" s="22">
        <v>3482918</v>
      </c>
      <c r="BO69" s="15">
        <f t="shared" ref="BO69" si="458">(BN69/BM69-1)*100</f>
        <v>22.09964448990911</v>
      </c>
      <c r="BP69" s="23">
        <f>BS69-BM69</f>
        <v>178561</v>
      </c>
      <c r="BQ69" s="22">
        <f>BT69-BN69</f>
        <v>217132</v>
      </c>
      <c r="BR69" s="15">
        <f t="shared" ref="BR69" si="459">(BQ69/BP69-1)*100</f>
        <v>21.60102149965557</v>
      </c>
      <c r="BS69" s="22">
        <v>3031082</v>
      </c>
      <c r="BT69" s="22">
        <v>3700050</v>
      </c>
      <c r="BU69" s="15">
        <f t="shared" ref="BU69" si="460">(BT69/BS69-1)*100</f>
        <v>22.070270616235387</v>
      </c>
      <c r="BV69" s="23">
        <f>BY69-BS69</f>
        <v>78881</v>
      </c>
      <c r="BW69" s="22">
        <f>BZ69-BT69</f>
        <v>314107</v>
      </c>
      <c r="BX69" s="15">
        <f t="shared" ref="BX69" si="461">(BW69/BV69-1)*100</f>
        <v>298.20362317921933</v>
      </c>
      <c r="BY69" s="22">
        <v>3109963</v>
      </c>
      <c r="BZ69" s="22">
        <v>4014157</v>
      </c>
      <c r="CA69" s="15">
        <f t="shared" ref="CA69" si="462">(BZ69/BY69-1)*100</f>
        <v>29.074107955625195</v>
      </c>
      <c r="CB69" s="6"/>
    </row>
    <row r="70" spans="1:80" s="1" customFormat="1" ht="19.5" customHeight="1">
      <c r="A70" s="169"/>
      <c r="B70" s="171"/>
      <c r="C70" s="33" t="s">
        <v>104</v>
      </c>
      <c r="D70" s="17">
        <v>40197089</v>
      </c>
      <c r="E70" s="17">
        <v>69760251</v>
      </c>
      <c r="F70" s="17">
        <v>119893223</v>
      </c>
      <c r="G70" s="17">
        <v>169339202</v>
      </c>
      <c r="H70" s="17">
        <v>110559723</v>
      </c>
      <c r="I70" s="17">
        <v>108104835</v>
      </c>
      <c r="J70" s="17">
        <v>92303681</v>
      </c>
      <c r="K70" s="17">
        <v>12830755</v>
      </c>
      <c r="L70" s="17">
        <v>5440151</v>
      </c>
      <c r="M70" s="18">
        <f>(L70/K70-1)*100</f>
        <v>-57.600694581106104</v>
      </c>
      <c r="N70" s="14">
        <f>Q70-K70</f>
        <v>6394266</v>
      </c>
      <c r="O70" s="14">
        <f>R70-L70</f>
        <v>7034092</v>
      </c>
      <c r="P70" s="18">
        <f>(O70/N70-1)*100</f>
        <v>10.006246221223837</v>
      </c>
      <c r="Q70" s="17">
        <v>19225021</v>
      </c>
      <c r="R70" s="17">
        <v>12474243</v>
      </c>
      <c r="S70" s="18">
        <f>(R70/Q70-1)*100</f>
        <v>-35.11454161740577</v>
      </c>
      <c r="T70" s="14">
        <f>W70-Q70</f>
        <v>6729960</v>
      </c>
      <c r="U70" s="14">
        <f>X70-R70</f>
        <v>21585000</v>
      </c>
      <c r="V70" s="18">
        <f>(U70/T70-1)*100</f>
        <v>220.72998947987804</v>
      </c>
      <c r="W70" s="17">
        <v>25954981</v>
      </c>
      <c r="X70" s="17">
        <v>34059243</v>
      </c>
      <c r="Y70" s="18">
        <f>(X70/W70-1)*100</f>
        <v>31.224303342776484</v>
      </c>
      <c r="Z70" s="14">
        <f>AC70-W70</f>
        <v>11554034</v>
      </c>
      <c r="AA70" s="14">
        <f>AD70-X70</f>
        <v>2587228</v>
      </c>
      <c r="AB70" s="18">
        <f>(AA70/Z70-1)*100</f>
        <v>-77.607578444030892</v>
      </c>
      <c r="AC70" s="17">
        <v>37509015</v>
      </c>
      <c r="AD70" s="17">
        <v>36646471</v>
      </c>
      <c r="AE70" s="18">
        <f>(AD70/AC70-1)*100</f>
        <v>-2.2995645180232005</v>
      </c>
      <c r="AF70" s="14">
        <f>AI70-AC70</f>
        <v>8568170</v>
      </c>
      <c r="AG70" s="14">
        <f>AJ70-AD70</f>
        <v>2315556</v>
      </c>
      <c r="AH70" s="18">
        <f>(AG70/AF70-1)*100</f>
        <v>-72.974905960082495</v>
      </c>
      <c r="AI70" s="17">
        <v>46077185</v>
      </c>
      <c r="AJ70" s="17">
        <v>38962027</v>
      </c>
      <c r="AK70" s="18">
        <f>(AJ70/AI70-1)*100</f>
        <v>-15.441824408327031</v>
      </c>
      <c r="AL70" s="14">
        <f>AO70-AI70</f>
        <v>8678654</v>
      </c>
      <c r="AM70" s="14">
        <f>AP70-AJ70</f>
        <v>4811794</v>
      </c>
      <c r="AN70" s="18">
        <f>(AM70/AL70-1)*100</f>
        <v>-44.555987598998648</v>
      </c>
      <c r="AO70" s="17">
        <v>54755839</v>
      </c>
      <c r="AP70" s="17">
        <v>43773821</v>
      </c>
      <c r="AQ70" s="18">
        <f>(AP70/AO70-1)*100</f>
        <v>-20.056341388541231</v>
      </c>
      <c r="AR70" s="14">
        <f>AU70-AO70</f>
        <v>4584822</v>
      </c>
      <c r="AS70" s="14">
        <f>AV70-AP70</f>
        <v>5379495</v>
      </c>
      <c r="AT70" s="18">
        <f>(AS70/AR70-1)*100</f>
        <v>17.332690342176861</v>
      </c>
      <c r="AU70" s="17">
        <v>59340661</v>
      </c>
      <c r="AV70" s="17">
        <v>49153316</v>
      </c>
      <c r="AW70" s="18">
        <f>(AV70/AU70-1)*100</f>
        <v>-17.167562390314462</v>
      </c>
      <c r="AX70" s="14">
        <f>BA70-AU70</f>
        <v>4700692</v>
      </c>
      <c r="AY70" s="14">
        <f>BB70-AV70</f>
        <v>4784528</v>
      </c>
      <c r="AZ70" s="18">
        <f>(AY70/AX70-1)*100</f>
        <v>1.7834820915729077</v>
      </c>
      <c r="BA70" s="17">
        <v>64041353</v>
      </c>
      <c r="BB70" s="17">
        <v>53937844</v>
      </c>
      <c r="BC70" s="18">
        <f>(BB70/BA70-1)*100</f>
        <v>-15.776538949762664</v>
      </c>
      <c r="BD70" s="14">
        <f>BG70-BA70</f>
        <v>11992091</v>
      </c>
      <c r="BE70" s="14">
        <f>BH70-BB70</f>
        <v>3148699</v>
      </c>
      <c r="BF70" s="18">
        <f>(BE70/BD70-1)*100</f>
        <v>-73.743536469161214</v>
      </c>
      <c r="BG70" s="17">
        <v>76033444</v>
      </c>
      <c r="BH70" s="17">
        <v>57086543</v>
      </c>
      <c r="BI70" s="18">
        <f>(BH70/BG70-1)*100</f>
        <v>-24.919167149655884</v>
      </c>
      <c r="BJ70" s="14">
        <f>BM70-BG70</f>
        <v>9337859</v>
      </c>
      <c r="BK70" s="14">
        <f>BN70-BH70</f>
        <v>6075530</v>
      </c>
      <c r="BL70" s="18">
        <f>(BK70/BJ70-1)*100</f>
        <v>-34.936584499723111</v>
      </c>
      <c r="BM70" s="17">
        <v>85371303</v>
      </c>
      <c r="BN70" s="17">
        <v>63162073</v>
      </c>
      <c r="BO70" s="18">
        <f>(BN70/BM70-1)*100</f>
        <v>-26.014865908746877</v>
      </c>
      <c r="BP70" s="14">
        <f>BS70-BM70</f>
        <v>4874057</v>
      </c>
      <c r="BQ70" s="14">
        <f>BT70-BN70</f>
        <v>3965660</v>
      </c>
      <c r="BR70" s="18">
        <f>(BQ70/BP70-1)*100</f>
        <v>-18.637389755597855</v>
      </c>
      <c r="BS70" s="17">
        <v>90245360</v>
      </c>
      <c r="BT70" s="17">
        <v>67127733</v>
      </c>
      <c r="BU70" s="18">
        <f>(BT70/BS70-1)*100</f>
        <v>-25.616416179180845</v>
      </c>
      <c r="BV70" s="14">
        <f>BY70-BS70</f>
        <v>2058321</v>
      </c>
      <c r="BW70" s="14">
        <f>BZ70-BT70</f>
        <v>6098339</v>
      </c>
      <c r="BX70" s="18">
        <f>(BW70/BV70-1)*100</f>
        <v>196.27735421248678</v>
      </c>
      <c r="BY70" s="17">
        <v>92303681</v>
      </c>
      <c r="BZ70" s="17">
        <v>73226072</v>
      </c>
      <c r="CA70" s="18">
        <f>(BZ70/BY70-1)*100</f>
        <v>-20.66830790854376</v>
      </c>
      <c r="CB70" s="6"/>
    </row>
    <row r="71" spans="1:80" s="1" customFormat="1" ht="19.5" customHeight="1" thickBot="1">
      <c r="A71" s="169"/>
      <c r="B71" s="171"/>
      <c r="C71" s="32" t="s">
        <v>105</v>
      </c>
      <c r="D71" s="19">
        <f t="shared" ref="D71:L71" si="463">D70/D69</f>
        <v>20.570419641363049</v>
      </c>
      <c r="E71" s="19">
        <f t="shared" si="463"/>
        <v>21.409502212450491</v>
      </c>
      <c r="F71" s="19">
        <f t="shared" si="463"/>
        <v>37.58932609721419</v>
      </c>
      <c r="G71" s="19">
        <f t="shared" si="463"/>
        <v>42.579429970035342</v>
      </c>
      <c r="H71" s="20">
        <f>H70/H69</f>
        <v>36.075748493712993</v>
      </c>
      <c r="I71" s="20">
        <f>I70/I69</f>
        <v>35.705101274426845</v>
      </c>
      <c r="J71" s="20">
        <f>J70/J69</f>
        <v>29.679993298955647</v>
      </c>
      <c r="K71" s="20">
        <f t="shared" si="463"/>
        <v>32.705820426807506</v>
      </c>
      <c r="L71" s="20">
        <f t="shared" si="463"/>
        <v>21.341708936984862</v>
      </c>
      <c r="M71" s="47"/>
      <c r="N71" s="20">
        <f>N70/N69</f>
        <v>32.858340912944946</v>
      </c>
      <c r="O71" s="20">
        <f>O70/O69</f>
        <v>20.558443494246692</v>
      </c>
      <c r="P71" s="47"/>
      <c r="Q71" s="20">
        <f>Q70/Q69</f>
        <v>32.756391535996208</v>
      </c>
      <c r="R71" s="20">
        <f>R70/R69</f>
        <v>20.892849605900935</v>
      </c>
      <c r="S71" s="47"/>
      <c r="T71" s="20">
        <f>T70/T69</f>
        <v>30.658733918874596</v>
      </c>
      <c r="U71" s="20">
        <f>U70/U69</f>
        <v>16.844121062291642</v>
      </c>
      <c r="V71" s="47"/>
      <c r="W71" s="20">
        <f>W70/W69</f>
        <v>32.185398197715585</v>
      </c>
      <c r="X71" s="20">
        <f>X70/X69</f>
        <v>18.130949782647349</v>
      </c>
      <c r="Y71" s="47"/>
      <c r="Z71" s="20">
        <f>Z70/Z69</f>
        <v>32.081171733999724</v>
      </c>
      <c r="AA71" s="20">
        <f>AA70/AA69</f>
        <v>15.400074999553574</v>
      </c>
      <c r="AB71" s="47"/>
      <c r="AC71" s="20">
        <f>AC70/AC69</f>
        <v>32.153220849823974</v>
      </c>
      <c r="AD71" s="20">
        <f>AD70/AD69</f>
        <v>17.906768824074096</v>
      </c>
      <c r="AE71" s="47"/>
      <c r="AF71" s="20">
        <f>AF70/AF69</f>
        <v>30.019935812988759</v>
      </c>
      <c r="AG71" s="20">
        <f>AG70/AG69</f>
        <v>16.984809030961411</v>
      </c>
      <c r="AH71" s="47"/>
      <c r="AI71" s="20">
        <f>AI70/AI69</f>
        <v>31.733882603632125</v>
      </c>
      <c r="AJ71" s="20">
        <f>AJ70/AJ69</f>
        <v>17.849187253704567</v>
      </c>
      <c r="AK71" s="47"/>
      <c r="AL71" s="20">
        <f>AL70/AL69</f>
        <v>29.472516351633125</v>
      </c>
      <c r="AM71" s="20">
        <f>AM70/AM69</f>
        <v>16.94263833383215</v>
      </c>
      <c r="AN71" s="47"/>
      <c r="AO71" s="20">
        <f>AO70/AO69</f>
        <v>31.3525980945379</v>
      </c>
      <c r="AP71" s="20">
        <f>AP70/AP69</f>
        <v>17.744817583226549</v>
      </c>
      <c r="AQ71" s="47"/>
      <c r="AR71" s="20">
        <f>AR70/AR69</f>
        <v>29.20268789808917</v>
      </c>
      <c r="AS71" s="20">
        <f>AS70/AS69</f>
        <v>20.850594181440453</v>
      </c>
      <c r="AT71" s="47"/>
      <c r="AU71" s="20">
        <f>AU70/AU69</f>
        <v>31.175269891087407</v>
      </c>
      <c r="AV71" s="20">
        <f>AV70/AV69</f>
        <v>18.038887235384809</v>
      </c>
      <c r="AW71" s="47"/>
      <c r="AX71" s="20">
        <f>AX70/AX69</f>
        <v>27.649340336801735</v>
      </c>
      <c r="AY71" s="20">
        <f>AY70/AY69</f>
        <v>18.937900515747518</v>
      </c>
      <c r="AZ71" s="47"/>
      <c r="BA71" s="20">
        <f>BA70/BA69</f>
        <v>30.886165855785293</v>
      </c>
      <c r="BB71" s="20">
        <f>BB70/BB69</f>
        <v>18.115169256314701</v>
      </c>
      <c r="BC71" s="47"/>
      <c r="BD71" s="20">
        <f>BD70/BD69</f>
        <v>27.62600815043989</v>
      </c>
      <c r="BE71" s="20">
        <f>BE70/BE69</f>
        <v>17.413348007145188</v>
      </c>
      <c r="BF71" s="47"/>
      <c r="BG71" s="20">
        <f>BG70/BG69</f>
        <v>30.321793654446111</v>
      </c>
      <c r="BH71" s="20">
        <f>BH70/BH69</f>
        <v>18.074988356140313</v>
      </c>
      <c r="BI71" s="47"/>
      <c r="BJ71" s="20">
        <f>BJ70/BJ69</f>
        <v>27.068611763341739</v>
      </c>
      <c r="BK71" s="20">
        <f>BK70/BK69</f>
        <v>18.71691707665719</v>
      </c>
      <c r="BL71" s="47"/>
      <c r="BM71" s="20">
        <f>BM70/BM69</f>
        <v>29.928369677208337</v>
      </c>
      <c r="BN71" s="20">
        <f>BN70/BN69</f>
        <v>18.134814830553001</v>
      </c>
      <c r="BO71" s="47"/>
      <c r="BP71" s="20">
        <f>BP70/BP69</f>
        <v>27.296313304696994</v>
      </c>
      <c r="BQ71" s="20">
        <f>BQ70/BQ69</f>
        <v>18.263821085791133</v>
      </c>
      <c r="BR71" s="47"/>
      <c r="BS71" s="20">
        <f>BS70/BS69</f>
        <v>29.773315271576287</v>
      </c>
      <c r="BT71" s="20">
        <f>BT70/BT69</f>
        <v>18.142385373170633</v>
      </c>
      <c r="BU71" s="47"/>
      <c r="BV71" s="20">
        <f>BV70/BV69</f>
        <v>26.094002357982276</v>
      </c>
      <c r="BW71" s="20">
        <f>BW70/BW69</f>
        <v>19.414845896462033</v>
      </c>
      <c r="BX71" s="47"/>
      <c r="BY71" s="20">
        <f>BY70/BY69</f>
        <v>29.679993298955647</v>
      </c>
      <c r="BZ71" s="20">
        <f>BZ70/BZ69</f>
        <v>18.241955160199264</v>
      </c>
      <c r="CA71" s="47"/>
      <c r="CB71" s="6"/>
    </row>
    <row r="72" spans="1:80" s="1" customFormat="1" ht="19.5" customHeight="1">
      <c r="A72" s="169" t="s">
        <v>127</v>
      </c>
      <c r="B72" s="171" t="s">
        <v>79</v>
      </c>
      <c r="C72" s="62" t="s">
        <v>42</v>
      </c>
      <c r="D72" s="22">
        <v>336874</v>
      </c>
      <c r="E72" s="22">
        <v>448818</v>
      </c>
      <c r="F72" s="22">
        <v>554245</v>
      </c>
      <c r="G72" s="22">
        <v>492832</v>
      </c>
      <c r="H72" s="22">
        <v>393936</v>
      </c>
      <c r="I72" s="22">
        <v>433648</v>
      </c>
      <c r="J72" s="22">
        <v>584702</v>
      </c>
      <c r="K72" s="22">
        <v>66263</v>
      </c>
      <c r="L72" s="22">
        <v>31370</v>
      </c>
      <c r="M72" s="15">
        <f>(L72/K72-1)*100</f>
        <v>-52.658346286766374</v>
      </c>
      <c r="N72" s="23">
        <f>Q72-K72</f>
        <v>37766</v>
      </c>
      <c r="O72" s="22">
        <f>R72-L72</f>
        <v>37375</v>
      </c>
      <c r="P72" s="15">
        <f>(O72/N72-1)*100</f>
        <v>-1.0353227771010998</v>
      </c>
      <c r="Q72" s="22">
        <v>104029</v>
      </c>
      <c r="R72" s="22">
        <v>68745</v>
      </c>
      <c r="S72" s="15">
        <f>(R72/Q72-1)*100</f>
        <v>-33.917465322169782</v>
      </c>
      <c r="T72" s="23">
        <f>W72-Q72</f>
        <v>32361</v>
      </c>
      <c r="U72" s="22">
        <f>X72-R72</f>
        <v>49515</v>
      </c>
      <c r="V72" s="15">
        <f>(U72/T72-1)*100</f>
        <v>53.008250672105305</v>
      </c>
      <c r="W72" s="22">
        <v>136390</v>
      </c>
      <c r="X72" s="22">
        <v>118260</v>
      </c>
      <c r="Y72" s="15">
        <f>(X72/W72-1)*100</f>
        <v>-13.292763399076179</v>
      </c>
      <c r="Z72" s="23">
        <f>AC72-W72</f>
        <v>66302</v>
      </c>
      <c r="AA72" s="22">
        <f>AD72-X72</f>
        <v>70635</v>
      </c>
      <c r="AB72" s="15">
        <f>(AA72/Z72-1)*100</f>
        <v>6.5352478054960583</v>
      </c>
      <c r="AC72" s="22">
        <v>202692</v>
      </c>
      <c r="AD72" s="22">
        <v>188895</v>
      </c>
      <c r="AE72" s="15">
        <f>(AD72/AC72-1)*100</f>
        <v>-6.8068794032324913</v>
      </c>
      <c r="AF72" s="23">
        <f>AI72-AC72</f>
        <v>84260</v>
      </c>
      <c r="AG72" s="22">
        <f>AJ72-AD72</f>
        <v>46384</v>
      </c>
      <c r="AH72" s="15">
        <f>(AG72/AF72-1)*100</f>
        <v>-44.951341087111317</v>
      </c>
      <c r="AI72" s="22">
        <v>286952</v>
      </c>
      <c r="AJ72" s="22">
        <v>235279</v>
      </c>
      <c r="AK72" s="15">
        <f>(AJ72/AI72-1)*100</f>
        <v>-18.007541330954304</v>
      </c>
      <c r="AL72" s="23">
        <f>AO72-AI72</f>
        <v>18052</v>
      </c>
      <c r="AM72" s="22">
        <f>AP72-AJ72</f>
        <v>56724</v>
      </c>
      <c r="AN72" s="15">
        <f>(AM72/AL72-1)*100</f>
        <v>214.22557057389761</v>
      </c>
      <c r="AO72" s="22">
        <v>305004</v>
      </c>
      <c r="AP72" s="22">
        <v>292003</v>
      </c>
      <c r="AQ72" s="15">
        <f>(AP72/AO72-1)*100</f>
        <v>-4.262567048301003</v>
      </c>
      <c r="AR72" s="23">
        <f>AU72-AO72</f>
        <v>101126</v>
      </c>
      <c r="AS72" s="22">
        <f>AV72-AP72</f>
        <v>38052</v>
      </c>
      <c r="AT72" s="15">
        <f>(AS72/AR72-1)*100</f>
        <v>-62.371694717481162</v>
      </c>
      <c r="AU72" s="22">
        <v>406130</v>
      </c>
      <c r="AV72" s="22">
        <v>330055</v>
      </c>
      <c r="AW72" s="15">
        <f>(AV72/AU72-1)*100</f>
        <v>-18.731686898283805</v>
      </c>
      <c r="AX72" s="23">
        <f>BA72-AU72</f>
        <v>26307</v>
      </c>
      <c r="AY72" s="22">
        <f>BB72-AV72</f>
        <v>50709</v>
      </c>
      <c r="AZ72" s="15">
        <f>(AY72/AX72-1)*100</f>
        <v>92.758581366176301</v>
      </c>
      <c r="BA72" s="22">
        <v>432437</v>
      </c>
      <c r="BB72" s="22">
        <v>380764</v>
      </c>
      <c r="BC72" s="15">
        <f>(BB72/BA72-1)*100</f>
        <v>-11.949255035993678</v>
      </c>
      <c r="BD72" s="23">
        <f>BG72-BA72</f>
        <v>40930</v>
      </c>
      <c r="BE72" s="22">
        <f>BH72-BB72</f>
        <v>34578</v>
      </c>
      <c r="BF72" s="15">
        <f>(BE72/BD72-1)*100</f>
        <v>-15.519179086244804</v>
      </c>
      <c r="BG72" s="22">
        <v>473367</v>
      </c>
      <c r="BH72" s="22">
        <v>415342</v>
      </c>
      <c r="BI72" s="15">
        <f>(BH72/BG72-1)*100</f>
        <v>-12.257930949981722</v>
      </c>
      <c r="BJ72" s="23">
        <f>BM72-BG72</f>
        <v>35448</v>
      </c>
      <c r="BK72" s="22">
        <f>BN72-BH72</f>
        <v>42422</v>
      </c>
      <c r="BL72" s="15">
        <f>(BK72/BJ72-1)*100</f>
        <v>19.67388851275107</v>
      </c>
      <c r="BM72" s="22">
        <v>508815</v>
      </c>
      <c r="BN72" s="22">
        <v>457764</v>
      </c>
      <c r="BO72" s="15">
        <f>(BN72/BM72-1)*100</f>
        <v>-10.033312697149254</v>
      </c>
      <c r="BP72" s="23">
        <f>BS72-BM72</f>
        <v>38446</v>
      </c>
      <c r="BQ72" s="22">
        <f>BT72-BN72</f>
        <v>33450</v>
      </c>
      <c r="BR72" s="15">
        <f>(BQ72/BP72-1)*100</f>
        <v>-12.994849919367423</v>
      </c>
      <c r="BS72" s="22">
        <v>547261</v>
      </c>
      <c r="BT72" s="22">
        <v>491214</v>
      </c>
      <c r="BU72" s="15">
        <f>(BT72/BS72-1)*100</f>
        <v>-10.241365637237077</v>
      </c>
      <c r="BV72" s="23">
        <f>BY72-BS72</f>
        <v>37441</v>
      </c>
      <c r="BW72" s="22">
        <f>BZ72-BT72</f>
        <v>42900</v>
      </c>
      <c r="BX72" s="15">
        <f>(BW72/BV72-1)*100</f>
        <v>14.580272962794805</v>
      </c>
      <c r="BY72" s="22">
        <v>584702</v>
      </c>
      <c r="BZ72" s="22">
        <v>534114</v>
      </c>
      <c r="CA72" s="15">
        <f>(BZ72/BY72-1)*100</f>
        <v>-8.6519286747779205</v>
      </c>
      <c r="CB72" s="6"/>
    </row>
    <row r="73" spans="1:80" s="1" customFormat="1" ht="19.5" customHeight="1">
      <c r="A73" s="169"/>
      <c r="B73" s="171"/>
      <c r="C73" s="33" t="s">
        <v>104</v>
      </c>
      <c r="D73" s="17">
        <v>7538465</v>
      </c>
      <c r="E73" s="17">
        <v>12423447</v>
      </c>
      <c r="F73" s="17">
        <v>20900724</v>
      </c>
      <c r="G73" s="17">
        <v>15822825</v>
      </c>
      <c r="H73" s="17">
        <v>11985941</v>
      </c>
      <c r="I73" s="17">
        <v>12872259</v>
      </c>
      <c r="J73" s="17">
        <v>13510599</v>
      </c>
      <c r="K73" s="17">
        <v>1476431</v>
      </c>
      <c r="L73" s="17">
        <v>790581</v>
      </c>
      <c r="M73" s="18">
        <f>(L73/K73-1)*100</f>
        <v>-46.45323757087192</v>
      </c>
      <c r="N73" s="14">
        <f>Q73-K73</f>
        <v>958967</v>
      </c>
      <c r="O73" s="14">
        <f>R73-L73</f>
        <v>797714</v>
      </c>
      <c r="P73" s="18">
        <f>(O73/N73-1)*100</f>
        <v>-16.8152814434699</v>
      </c>
      <c r="Q73" s="17">
        <v>2435398</v>
      </c>
      <c r="R73" s="17">
        <v>1588295</v>
      </c>
      <c r="S73" s="18">
        <f>(R73/Q73-1)*100</f>
        <v>-34.782938969318366</v>
      </c>
      <c r="T73" s="14">
        <f>W73-Q73</f>
        <v>827479</v>
      </c>
      <c r="U73" s="14">
        <f>X73-R73</f>
        <v>1091364</v>
      </c>
      <c r="V73" s="18">
        <f>(U73/T73-1)*100</f>
        <v>31.89023528089534</v>
      </c>
      <c r="W73" s="17">
        <v>3262877</v>
      </c>
      <c r="X73" s="17">
        <v>2679659</v>
      </c>
      <c r="Y73" s="18">
        <f>(X73/W73-1)*100</f>
        <v>-17.874348312853961</v>
      </c>
      <c r="Z73" s="14">
        <f>AC73-W73</f>
        <v>1495928</v>
      </c>
      <c r="AA73" s="14">
        <f>AD73-X73</f>
        <v>1526400</v>
      </c>
      <c r="AB73" s="18">
        <f>(AA73/Z73-1)*100</f>
        <v>2.0369964329834067</v>
      </c>
      <c r="AC73" s="17">
        <v>4758805</v>
      </c>
      <c r="AD73" s="17">
        <v>4206059</v>
      </c>
      <c r="AE73" s="18">
        <f>(AD73/AC73-1)*100</f>
        <v>-11.615226931971367</v>
      </c>
      <c r="AF73" s="14">
        <f>AI73-AC73</f>
        <v>1817685</v>
      </c>
      <c r="AG73" s="14">
        <f>AJ73-AD73</f>
        <v>1073842</v>
      </c>
      <c r="AH73" s="18">
        <f>(AG73/AF73-1)*100</f>
        <v>-40.922547085991248</v>
      </c>
      <c r="AI73" s="17">
        <v>6576490</v>
      </c>
      <c r="AJ73" s="17">
        <v>5279901</v>
      </c>
      <c r="AK73" s="18">
        <f>(AJ73/AI73-1)*100</f>
        <v>-19.71551693988739</v>
      </c>
      <c r="AL73" s="14">
        <f>AO73-AI73</f>
        <v>536946</v>
      </c>
      <c r="AM73" s="14">
        <f>AP73-AJ73</f>
        <v>1266932</v>
      </c>
      <c r="AN73" s="18">
        <f>(AM73/AL73-1)*100</f>
        <v>135.9514737049908</v>
      </c>
      <c r="AO73" s="17">
        <v>7113436</v>
      </c>
      <c r="AP73" s="17">
        <v>6546833</v>
      </c>
      <c r="AQ73" s="18">
        <f>(AP73/AO73-1)*100</f>
        <v>-7.9652505483988278</v>
      </c>
      <c r="AR73" s="14">
        <f>AU73-AO73</f>
        <v>2053776</v>
      </c>
      <c r="AS73" s="14">
        <f>AV73-AP73</f>
        <v>981345</v>
      </c>
      <c r="AT73" s="18">
        <f>(AS73/AR73-1)*100</f>
        <v>-52.217525182882653</v>
      </c>
      <c r="AU73" s="17">
        <v>9167212</v>
      </c>
      <c r="AV73" s="17">
        <v>7528178</v>
      </c>
      <c r="AW73" s="18">
        <f>(AV73/AU73-1)*100</f>
        <v>-17.87930725284852</v>
      </c>
      <c r="AX73" s="14">
        <f>BA73-AU73</f>
        <v>625475</v>
      </c>
      <c r="AY73" s="14">
        <f>BB73-AV73</f>
        <v>995493</v>
      </c>
      <c r="AZ73" s="18">
        <f>(AY73/AX73-1)*100</f>
        <v>59.15791998081459</v>
      </c>
      <c r="BA73" s="17">
        <v>9792687</v>
      </c>
      <c r="BB73" s="17">
        <v>8523671</v>
      </c>
      <c r="BC73" s="18">
        <f>(BB73/BA73-1)*100</f>
        <v>-12.958813040792583</v>
      </c>
      <c r="BD73" s="14">
        <f>BG73-BA73</f>
        <v>958785</v>
      </c>
      <c r="BE73" s="14">
        <f>BH73-BB73</f>
        <v>752363</v>
      </c>
      <c r="BF73" s="18">
        <f>(BE73/BD73-1)*100</f>
        <v>-21.529539990717417</v>
      </c>
      <c r="BG73" s="17">
        <v>10751472</v>
      </c>
      <c r="BH73" s="17">
        <v>9276034</v>
      </c>
      <c r="BI73" s="18">
        <f>(BH73/BG73-1)*100</f>
        <v>-13.723125540391123</v>
      </c>
      <c r="BJ73" s="14">
        <f>BM73-BG73</f>
        <v>873200</v>
      </c>
      <c r="BK73" s="14">
        <f>BN73-BH73</f>
        <v>965128</v>
      </c>
      <c r="BL73" s="18">
        <f>(BK73/BJ73-1)*100</f>
        <v>10.5277141548328</v>
      </c>
      <c r="BM73" s="17">
        <v>11624672</v>
      </c>
      <c r="BN73" s="17">
        <v>10241162</v>
      </c>
      <c r="BO73" s="18">
        <f>(BN73/BM73-1)*100</f>
        <v>-11.901497091702884</v>
      </c>
      <c r="BP73" s="14">
        <f>BS73-BM73</f>
        <v>977533</v>
      </c>
      <c r="BQ73" s="14">
        <f>BT73-BN73</f>
        <v>778931</v>
      </c>
      <c r="BR73" s="18">
        <f>(BQ73/BP73-1)*100</f>
        <v>-20.316654271518196</v>
      </c>
      <c r="BS73" s="17">
        <v>12602205</v>
      </c>
      <c r="BT73" s="17">
        <v>11020093</v>
      </c>
      <c r="BU73" s="18">
        <f>(BT73/BS73-1)*100</f>
        <v>-12.554247451140499</v>
      </c>
      <c r="BV73" s="14">
        <f>BY73-BS73</f>
        <v>908394</v>
      </c>
      <c r="BW73" s="14">
        <f>BZ73-BT73</f>
        <v>925705</v>
      </c>
      <c r="BX73" s="18">
        <f>(BW73/BV73-1)*100</f>
        <v>1.9056708873022021</v>
      </c>
      <c r="BY73" s="17">
        <v>13510599</v>
      </c>
      <c r="BZ73" s="17">
        <v>11945798</v>
      </c>
      <c r="CA73" s="18">
        <f>(BZ73/BY73-1)*100</f>
        <v>-11.582025341733548</v>
      </c>
      <c r="CB73" s="6"/>
    </row>
    <row r="74" spans="1:80" s="1" customFormat="1" ht="19.5" customHeight="1" thickBot="1">
      <c r="A74" s="169"/>
      <c r="B74" s="171"/>
      <c r="C74" s="34" t="s">
        <v>105</v>
      </c>
      <c r="D74" s="19">
        <f t="shared" ref="D74:L74" si="464">D73/D72</f>
        <v>22.377699080368327</v>
      </c>
      <c r="E74" s="19">
        <f t="shared" si="464"/>
        <v>27.680367097576301</v>
      </c>
      <c r="F74" s="19">
        <f t="shared" si="464"/>
        <v>37.710261707367678</v>
      </c>
      <c r="G74" s="19">
        <f t="shared" si="464"/>
        <v>32.105920475943122</v>
      </c>
      <c r="H74" s="20">
        <f>H73/H72</f>
        <v>30.426112363429592</v>
      </c>
      <c r="I74" s="20">
        <f>I73/I72</f>
        <v>29.683658174371839</v>
      </c>
      <c r="J74" s="20">
        <f>J73/J72</f>
        <v>23.106811675007098</v>
      </c>
      <c r="K74" s="20">
        <f t="shared" si="464"/>
        <v>22.281378748321085</v>
      </c>
      <c r="L74" s="20">
        <f t="shared" si="464"/>
        <v>25.20181702263309</v>
      </c>
      <c r="M74" s="47"/>
      <c r="N74" s="20">
        <f>N73/N72</f>
        <v>25.392337022718849</v>
      </c>
      <c r="O74" s="20">
        <f>O73/O72</f>
        <v>21.343518394648829</v>
      </c>
      <c r="P74" s="47"/>
      <c r="Q74" s="20">
        <f>Q73/Q72</f>
        <v>23.410760461025291</v>
      </c>
      <c r="R74" s="20">
        <f>R73/R72</f>
        <v>23.104153029311224</v>
      </c>
      <c r="S74" s="47"/>
      <c r="T74" s="20">
        <f>T73/T72</f>
        <v>25.570254318469765</v>
      </c>
      <c r="U74" s="20">
        <f>U73/U72</f>
        <v>22.041078461072402</v>
      </c>
      <c r="V74" s="47"/>
      <c r="W74" s="20">
        <f>W73/W72</f>
        <v>23.923139526358238</v>
      </c>
      <c r="X74" s="20">
        <f>X73/X72</f>
        <v>22.659047860646034</v>
      </c>
      <c r="Y74" s="47"/>
      <c r="Z74" s="20">
        <f>Z73/Z72</f>
        <v>22.562335977798558</v>
      </c>
      <c r="AA74" s="20">
        <f>AA73/AA72</f>
        <v>21.609683584625184</v>
      </c>
      <c r="AB74" s="47"/>
      <c r="AC74" s="20">
        <f>AC73/AC72</f>
        <v>23.478010972312671</v>
      </c>
      <c r="AD74" s="20">
        <f>AD73/AD72</f>
        <v>22.266650784827551</v>
      </c>
      <c r="AE74" s="47"/>
      <c r="AF74" s="20">
        <f>AF73/AF72</f>
        <v>21.572335627818656</v>
      </c>
      <c r="AG74" s="20">
        <f>AG73/AG72</f>
        <v>23.151129699896515</v>
      </c>
      <c r="AH74" s="47"/>
      <c r="AI74" s="20">
        <f>AI73/AI72</f>
        <v>22.91843235105523</v>
      </c>
      <c r="AJ74" s="20">
        <f>AJ73/AJ72</f>
        <v>22.441021085604749</v>
      </c>
      <c r="AK74" s="47"/>
      <c r="AL74" s="20">
        <f>AL73/AL72</f>
        <v>29.744405052071791</v>
      </c>
      <c r="AM74" s="20">
        <f>AM73/AM72</f>
        <v>22.33502573866441</v>
      </c>
      <c r="AN74" s="47"/>
      <c r="AO74" s="20">
        <f>AO73/AO72</f>
        <v>23.322435115605042</v>
      </c>
      <c r="AP74" s="20">
        <f>AP73/AP72</f>
        <v>22.420430612014261</v>
      </c>
      <c r="AQ74" s="47"/>
      <c r="AR74" s="20">
        <f>AR73/AR72</f>
        <v>20.309079761881218</v>
      </c>
      <c r="AS74" s="20">
        <f>AS73/AS72</f>
        <v>25.789577420372122</v>
      </c>
      <c r="AT74" s="47"/>
      <c r="AU74" s="20">
        <f>AU73/AU72</f>
        <v>22.572112377810061</v>
      </c>
      <c r="AV74" s="20">
        <f>AV73/AV72</f>
        <v>22.808859129539016</v>
      </c>
      <c r="AW74" s="47"/>
      <c r="AX74" s="20">
        <f>AX73/AX72</f>
        <v>23.775991181054472</v>
      </c>
      <c r="AY74" s="20">
        <f>AY73/AY72</f>
        <v>19.631485535112109</v>
      </c>
      <c r="AZ74" s="47"/>
      <c r="BA74" s="20">
        <f>BA73/BA72</f>
        <v>22.645349495995948</v>
      </c>
      <c r="BB74" s="20">
        <f>BB73/BB72</f>
        <v>22.385706106669748</v>
      </c>
      <c r="BC74" s="47"/>
      <c r="BD74" s="20">
        <f>BD73/BD72</f>
        <v>23.42499389201075</v>
      </c>
      <c r="BE74" s="20">
        <f>BE73/BE72</f>
        <v>21.758430215744117</v>
      </c>
      <c r="BF74" s="47"/>
      <c r="BG74" s="20">
        <f>BG73/BG72</f>
        <v>22.712761979605677</v>
      </c>
      <c r="BH74" s="20">
        <f>BH73/BH72</f>
        <v>22.333484213010003</v>
      </c>
      <c r="BI74" s="47"/>
      <c r="BJ74" s="20">
        <f>BJ73/BJ72</f>
        <v>24.633265628526292</v>
      </c>
      <c r="BK74" s="20">
        <f>BK73/BK72</f>
        <v>22.750648248550281</v>
      </c>
      <c r="BL74" s="47"/>
      <c r="BM74" s="20">
        <f>BM73/BM72</f>
        <v>22.84655916197439</v>
      </c>
      <c r="BN74" s="20">
        <f>BN73/BN72</f>
        <v>22.372143724714046</v>
      </c>
      <c r="BO74" s="47"/>
      <c r="BP74" s="20">
        <f>BP73/BP72</f>
        <v>25.426130156583259</v>
      </c>
      <c r="BQ74" s="20">
        <f>BQ73/BQ72</f>
        <v>23.28642750373692</v>
      </c>
      <c r="BR74" s="47"/>
      <c r="BS74" s="20">
        <f>BS73/BS72</f>
        <v>23.027778336113848</v>
      </c>
      <c r="BT74" s="20">
        <f>BT73/BT72</f>
        <v>22.434403335409822</v>
      </c>
      <c r="BU74" s="47"/>
      <c r="BV74" s="20">
        <f>BV73/BV72</f>
        <v>24.262012232579259</v>
      </c>
      <c r="BW74" s="20">
        <f>BW73/BW72</f>
        <v>21.578205128205127</v>
      </c>
      <c r="BX74" s="47"/>
      <c r="BY74" s="20">
        <f>BY73/BY72</f>
        <v>23.106811675007098</v>
      </c>
      <c r="BZ74" s="20">
        <f>BZ73/BZ72</f>
        <v>22.365633553885502</v>
      </c>
      <c r="CA74" s="47"/>
      <c r="CB74" s="6"/>
    </row>
    <row r="75" spans="1:80" s="1" customFormat="1" ht="19.5" customHeight="1">
      <c r="A75" s="169" t="s">
        <v>112</v>
      </c>
      <c r="B75" s="171" t="s">
        <v>80</v>
      </c>
      <c r="C75" s="32" t="s">
        <v>42</v>
      </c>
      <c r="D75" s="22">
        <v>466185</v>
      </c>
      <c r="E75" s="22">
        <v>730021</v>
      </c>
      <c r="F75" s="22">
        <v>639942</v>
      </c>
      <c r="G75" s="22">
        <v>793601</v>
      </c>
      <c r="H75" s="22">
        <v>623775</v>
      </c>
      <c r="I75" s="22">
        <v>632549</v>
      </c>
      <c r="J75" s="22">
        <v>585335</v>
      </c>
      <c r="K75" s="22">
        <v>52598</v>
      </c>
      <c r="L75" s="22">
        <v>50231</v>
      </c>
      <c r="M75" s="15">
        <f>(L75/K75-1)*100</f>
        <v>-4.50017110916765</v>
      </c>
      <c r="N75" s="23">
        <f>Q75-K75</f>
        <v>44591</v>
      </c>
      <c r="O75" s="22">
        <f>R75-L75</f>
        <v>43335</v>
      </c>
      <c r="P75" s="15">
        <f>(O75/N75-1)*100</f>
        <v>-2.8167118925343626</v>
      </c>
      <c r="Q75" s="22">
        <v>97189</v>
      </c>
      <c r="R75" s="22">
        <v>93566</v>
      </c>
      <c r="S75" s="15">
        <f>(R75/Q75-1)*100</f>
        <v>-3.727788124170428</v>
      </c>
      <c r="T75" s="23">
        <f>W75-Q75</f>
        <v>45622</v>
      </c>
      <c r="U75" s="22">
        <f>X75-R75</f>
        <v>52351</v>
      </c>
      <c r="V75" s="15">
        <f>(U75/T75-1)*100</f>
        <v>14.749462978387617</v>
      </c>
      <c r="W75" s="22">
        <v>142811</v>
      </c>
      <c r="X75" s="22">
        <v>145917</v>
      </c>
      <c r="Y75" s="15">
        <f>(X75/W75-1)*100</f>
        <v>2.174902493505404</v>
      </c>
      <c r="Z75" s="23">
        <f>AC75-W75</f>
        <v>29842</v>
      </c>
      <c r="AA75" s="22">
        <f>AD75-X75</f>
        <v>94916</v>
      </c>
      <c r="AB75" s="15">
        <f>(AA75/Z75-1)*100</f>
        <v>218.06179210508679</v>
      </c>
      <c r="AC75" s="22">
        <v>172653</v>
      </c>
      <c r="AD75" s="22">
        <v>240833</v>
      </c>
      <c r="AE75" s="15">
        <f>(AD75/AC75-1)*100</f>
        <v>39.489612112155605</v>
      </c>
      <c r="AF75" s="23">
        <f>AI75-AC75</f>
        <v>79103</v>
      </c>
      <c r="AG75" s="22">
        <f>AJ75-AD75</f>
        <v>29916</v>
      </c>
      <c r="AH75" s="15">
        <f>(AG75/AF75-1)*100</f>
        <v>-62.180953946120887</v>
      </c>
      <c r="AI75" s="22">
        <v>251756</v>
      </c>
      <c r="AJ75" s="22">
        <v>270749</v>
      </c>
      <c r="AK75" s="15">
        <f>(AJ75/AI75-1)*100</f>
        <v>7.5442094726640097</v>
      </c>
      <c r="AL75" s="23">
        <f>AO75-AI75</f>
        <v>30422</v>
      </c>
      <c r="AM75" s="22">
        <f>AP75-AJ75</f>
        <v>58445</v>
      </c>
      <c r="AN75" s="15">
        <f>(AM75/AL75-1)*100</f>
        <v>92.114259417526796</v>
      </c>
      <c r="AO75" s="22">
        <v>282178</v>
      </c>
      <c r="AP75" s="22">
        <v>329194</v>
      </c>
      <c r="AQ75" s="15">
        <f>(AP75/AO75-1)*100</f>
        <v>16.661823388074204</v>
      </c>
      <c r="AR75" s="23">
        <f>AU75-AO75</f>
        <v>94196</v>
      </c>
      <c r="AS75" s="22">
        <f>AV75-AP75</f>
        <v>32489</v>
      </c>
      <c r="AT75" s="15">
        <f>(AS75/AR75-1)*100</f>
        <v>-65.50915113168287</v>
      </c>
      <c r="AU75" s="22">
        <v>376374</v>
      </c>
      <c r="AV75" s="22">
        <v>361683</v>
      </c>
      <c r="AW75" s="15">
        <f>(AV75/AU75-1)*100</f>
        <v>-3.9032983149739353</v>
      </c>
      <c r="AX75" s="23">
        <f>BA75-AU75</f>
        <v>33016</v>
      </c>
      <c r="AY75" s="22">
        <f>BB75-AV75</f>
        <v>70520</v>
      </c>
      <c r="AZ75" s="15">
        <f>(AY75/AX75-1)*100</f>
        <v>113.59340925611825</v>
      </c>
      <c r="BA75" s="22">
        <v>409390</v>
      </c>
      <c r="BB75" s="22">
        <v>432203</v>
      </c>
      <c r="BC75" s="15">
        <f>(BB75/BA75-1)*100</f>
        <v>5.5724370404748536</v>
      </c>
      <c r="BD75" s="23">
        <f>BG75-BA75</f>
        <v>25228</v>
      </c>
      <c r="BE75" s="22">
        <f>BH75-BB75</f>
        <v>13381</v>
      </c>
      <c r="BF75" s="15">
        <f>(BE75/BD75-1)*100</f>
        <v>-46.95972728714127</v>
      </c>
      <c r="BG75" s="22">
        <v>434618</v>
      </c>
      <c r="BH75" s="22">
        <v>445584</v>
      </c>
      <c r="BI75" s="15">
        <f>(BH75/BG75-1)*100</f>
        <v>2.5231352590090683</v>
      </c>
      <c r="BJ75" s="23">
        <f>BM75-BG75</f>
        <v>50772</v>
      </c>
      <c r="BK75" s="22">
        <f>BN75-BH75</f>
        <v>27128</v>
      </c>
      <c r="BL75" s="15">
        <f>(BK75/BJ75-1)*100</f>
        <v>-46.568975025604665</v>
      </c>
      <c r="BM75" s="22">
        <v>485390</v>
      </c>
      <c r="BN75" s="22">
        <v>472712</v>
      </c>
      <c r="BO75" s="15">
        <f>(BN75/BM75-1)*100</f>
        <v>-2.6119203115020917</v>
      </c>
      <c r="BP75" s="23">
        <f>BS75-BM75</f>
        <v>34595</v>
      </c>
      <c r="BQ75" s="22">
        <f>BT75-BN75</f>
        <v>49187</v>
      </c>
      <c r="BR75" s="15">
        <f>(BQ75/BP75-1)*100</f>
        <v>42.179505708917461</v>
      </c>
      <c r="BS75" s="22">
        <v>519985</v>
      </c>
      <c r="BT75" s="22">
        <v>521899</v>
      </c>
      <c r="BU75" s="15">
        <f>(BT75/BS75-1)*100</f>
        <v>0.36808754098676122</v>
      </c>
      <c r="BV75" s="23">
        <f>BY75-BS75</f>
        <v>65350</v>
      </c>
      <c r="BW75" s="22">
        <f>BZ75-BT75</f>
        <v>29729</v>
      </c>
      <c r="BX75" s="15">
        <f>(BW75/BV75-1)*100</f>
        <v>-54.508033664881403</v>
      </c>
      <c r="BY75" s="22">
        <v>585335</v>
      </c>
      <c r="BZ75" s="22">
        <v>551628</v>
      </c>
      <c r="CA75" s="15">
        <f>(BZ75/BY75-1)*100</f>
        <v>-5.7585826919627214</v>
      </c>
      <c r="CB75" s="6"/>
    </row>
    <row r="76" spans="1:80" s="1" customFormat="1" ht="19.5" customHeight="1">
      <c r="A76" s="169"/>
      <c r="B76" s="171"/>
      <c r="C76" s="33" t="s">
        <v>104</v>
      </c>
      <c r="D76" s="17">
        <v>6431511</v>
      </c>
      <c r="E76" s="17">
        <v>15610225</v>
      </c>
      <c r="F76" s="17">
        <v>21834768</v>
      </c>
      <c r="G76" s="17">
        <v>18530882</v>
      </c>
      <c r="H76" s="17">
        <v>15461690</v>
      </c>
      <c r="I76" s="17">
        <v>11677080</v>
      </c>
      <c r="J76" s="17">
        <v>8773318</v>
      </c>
      <c r="K76" s="17">
        <v>743939</v>
      </c>
      <c r="L76" s="17">
        <v>390170</v>
      </c>
      <c r="M76" s="18">
        <f>(L76/K76-1)*100</f>
        <v>-47.553495649508903</v>
      </c>
      <c r="N76" s="14">
        <f>Q76-K76</f>
        <v>823466</v>
      </c>
      <c r="O76" s="14">
        <f>R76-L76</f>
        <v>580857</v>
      </c>
      <c r="P76" s="18">
        <f>(O76/N76-1)*100</f>
        <v>-29.461932854544081</v>
      </c>
      <c r="Q76" s="17">
        <v>1567405</v>
      </c>
      <c r="R76" s="17">
        <v>971027</v>
      </c>
      <c r="S76" s="18">
        <f>(R76/Q76-1)*100</f>
        <v>-38.04874936599029</v>
      </c>
      <c r="T76" s="14">
        <f>W76-Q76</f>
        <v>891020</v>
      </c>
      <c r="U76" s="14">
        <f>X76-R76</f>
        <v>585176</v>
      </c>
      <c r="V76" s="18">
        <f>(U76/T76-1)*100</f>
        <v>-34.325155439832997</v>
      </c>
      <c r="W76" s="17">
        <v>2458425</v>
      </c>
      <c r="X76" s="17">
        <v>1556203</v>
      </c>
      <c r="Y76" s="18">
        <f>(X76/W76-1)*100</f>
        <v>-36.699187487924178</v>
      </c>
      <c r="Z76" s="14">
        <f>AC76-W76</f>
        <v>536557</v>
      </c>
      <c r="AA76" s="14">
        <f>AD76-X76</f>
        <v>550075</v>
      </c>
      <c r="AB76" s="18">
        <f>(AA76/Z76-1)*100</f>
        <v>2.5193968208410356</v>
      </c>
      <c r="AC76" s="17">
        <v>2994982</v>
      </c>
      <c r="AD76" s="17">
        <v>2106278</v>
      </c>
      <c r="AE76" s="18">
        <f>(AD76/AC76-1)*100</f>
        <v>-29.673099871718765</v>
      </c>
      <c r="AF76" s="14">
        <f>AI76-AC76</f>
        <v>927102</v>
      </c>
      <c r="AG76" s="14">
        <f>AJ76-AD76</f>
        <v>290148</v>
      </c>
      <c r="AH76" s="18">
        <f>(AG76/AF76-1)*100</f>
        <v>-68.703767223024002</v>
      </c>
      <c r="AI76" s="17">
        <v>3922084</v>
      </c>
      <c r="AJ76" s="17">
        <v>2396426</v>
      </c>
      <c r="AK76" s="18">
        <f>(AJ76/AI76-1)*100</f>
        <v>-38.899166871489754</v>
      </c>
      <c r="AL76" s="14">
        <f>AO76-AI76</f>
        <v>812560</v>
      </c>
      <c r="AM76" s="14">
        <f>AP76-AJ76</f>
        <v>517466</v>
      </c>
      <c r="AN76" s="18">
        <f>(AM76/AL76-1)*100</f>
        <v>-36.316579698729946</v>
      </c>
      <c r="AO76" s="17">
        <v>4734644</v>
      </c>
      <c r="AP76" s="17">
        <v>2913892</v>
      </c>
      <c r="AQ76" s="18">
        <f>(AP76/AO76-1)*100</f>
        <v>-38.455943044503449</v>
      </c>
      <c r="AR76" s="14">
        <f>AU76-AO76</f>
        <v>1416232</v>
      </c>
      <c r="AS76" s="14">
        <f>AV76-AP76</f>
        <v>422594</v>
      </c>
      <c r="AT76" s="18">
        <f>(AS76/AR76-1)*100</f>
        <v>-70.160679888605813</v>
      </c>
      <c r="AU76" s="17">
        <v>6150876</v>
      </c>
      <c r="AV76" s="17">
        <v>3336486</v>
      </c>
      <c r="AW76" s="18">
        <f>(AV76/AU76-1)*100</f>
        <v>-45.755921595558092</v>
      </c>
      <c r="AX76" s="14">
        <f>BA76-AU76</f>
        <v>455015</v>
      </c>
      <c r="AY76" s="14">
        <f>BB76-AV76</f>
        <v>845969</v>
      </c>
      <c r="AZ76" s="18">
        <f>(AY76/AX76-1)*100</f>
        <v>85.92112347944574</v>
      </c>
      <c r="BA76" s="17">
        <v>6605891</v>
      </c>
      <c r="BB76" s="17">
        <v>4182455</v>
      </c>
      <c r="BC76" s="18">
        <f>(BB76/BA76-1)*100</f>
        <v>-36.685982254324209</v>
      </c>
      <c r="BD76" s="14">
        <f>BG76-BA76</f>
        <v>556289</v>
      </c>
      <c r="BE76" s="14">
        <f>BH76-BB76</f>
        <v>473508</v>
      </c>
      <c r="BF76" s="18">
        <f>(BE76/BD76-1)*100</f>
        <v>-14.880934190681462</v>
      </c>
      <c r="BG76" s="17">
        <v>7162180</v>
      </c>
      <c r="BH76" s="17">
        <v>4655963</v>
      </c>
      <c r="BI76" s="18">
        <f>(BH76/BG76-1)*100</f>
        <v>-34.992376622760112</v>
      </c>
      <c r="BJ76" s="14">
        <f>BM76-BG76</f>
        <v>468736</v>
      </c>
      <c r="BK76" s="14">
        <f>BN76-BH76</f>
        <v>307710</v>
      </c>
      <c r="BL76" s="18">
        <f>(BK76/BJ76-1)*100</f>
        <v>-34.353239350081921</v>
      </c>
      <c r="BM76" s="17">
        <v>7630916</v>
      </c>
      <c r="BN76" s="17">
        <v>4963673</v>
      </c>
      <c r="BO76" s="18">
        <f>(BN76/BM76-1)*100</f>
        <v>-34.953117030773242</v>
      </c>
      <c r="BP76" s="14">
        <f>BS76-BM76</f>
        <v>295424</v>
      </c>
      <c r="BQ76" s="14">
        <f>BT76-BN76</f>
        <v>521070</v>
      </c>
      <c r="BR76" s="18">
        <f>(BQ76/BP76-1)*100</f>
        <v>76.380388864818016</v>
      </c>
      <c r="BS76" s="17">
        <v>7926340</v>
      </c>
      <c r="BT76" s="17">
        <v>5484743</v>
      </c>
      <c r="BU76" s="18">
        <f>(BT76/BS76-1)*100</f>
        <v>-30.803586522909686</v>
      </c>
      <c r="BV76" s="14">
        <f>BY76-BS76</f>
        <v>846978</v>
      </c>
      <c r="BW76" s="14">
        <f>BZ76-BT76</f>
        <v>388778</v>
      </c>
      <c r="BX76" s="18">
        <f>(BW76/BV76-1)*100</f>
        <v>-54.098217427135054</v>
      </c>
      <c r="BY76" s="17">
        <v>8773318</v>
      </c>
      <c r="BZ76" s="17">
        <v>5873521</v>
      </c>
      <c r="CA76" s="18">
        <f>(BZ76/BY76-1)*100</f>
        <v>-33.052455182862403</v>
      </c>
      <c r="CB76" s="6"/>
    </row>
    <row r="77" spans="1:80" s="1" customFormat="1" ht="19.5" customHeight="1" thickBot="1">
      <c r="A77" s="170"/>
      <c r="B77" s="172"/>
      <c r="C77" s="35" t="s">
        <v>105</v>
      </c>
      <c r="D77" s="25">
        <f t="shared" ref="D77:L77" si="465">D76/D75</f>
        <v>13.796048778918241</v>
      </c>
      <c r="E77" s="25">
        <f t="shared" si="465"/>
        <v>21.383254728288637</v>
      </c>
      <c r="F77" s="25">
        <f t="shared" si="465"/>
        <v>34.119917117488775</v>
      </c>
      <c r="G77" s="25">
        <f t="shared" si="465"/>
        <v>23.350376322610479</v>
      </c>
      <c r="H77" s="26">
        <f>H76/H75</f>
        <v>24.787287082682056</v>
      </c>
      <c r="I77" s="26">
        <f>I76/I75</f>
        <v>18.460356430885195</v>
      </c>
      <c r="J77" s="26">
        <f>J76/J75</f>
        <v>14.988541604380398</v>
      </c>
      <c r="K77" s="26">
        <f t="shared" si="465"/>
        <v>14.143864785733298</v>
      </c>
      <c r="L77" s="26">
        <f t="shared" si="465"/>
        <v>7.7675140849276341</v>
      </c>
      <c r="M77" s="27"/>
      <c r="N77" s="26">
        <f>N76/N75</f>
        <v>18.467089771478548</v>
      </c>
      <c r="O77" s="26">
        <f>O76/O75</f>
        <v>13.403876773970232</v>
      </c>
      <c r="P77" s="27"/>
      <c r="Q77" s="26">
        <f>Q76/Q75</f>
        <v>16.127390959882291</v>
      </c>
      <c r="R77" s="26">
        <f>R76/R75</f>
        <v>10.377989868114486</v>
      </c>
      <c r="S77" s="27"/>
      <c r="T77" s="26">
        <f>T76/T75</f>
        <v>19.530489676033493</v>
      </c>
      <c r="U77" s="26">
        <f>U76/U75</f>
        <v>11.177933563828772</v>
      </c>
      <c r="V77" s="27"/>
      <c r="W77" s="26">
        <f>W76/W75</f>
        <v>17.214535294900251</v>
      </c>
      <c r="X77" s="26">
        <f>X76/X75</f>
        <v>10.664987629954014</v>
      </c>
      <c r="Y77" s="27"/>
      <c r="Z77" s="26">
        <f>Z76/Z75</f>
        <v>17.979927618792306</v>
      </c>
      <c r="AA77" s="26">
        <f>AA76/AA75</f>
        <v>5.7953875005267816</v>
      </c>
      <c r="AB77" s="27"/>
      <c r="AC77" s="26">
        <f>AC76/AC75</f>
        <v>17.346828609986506</v>
      </c>
      <c r="AD77" s="26">
        <f>AD76/AD75</f>
        <v>8.7458031083780039</v>
      </c>
      <c r="AE77" s="27"/>
      <c r="AF77" s="26">
        <f>AF76/AF75</f>
        <v>11.720187603504291</v>
      </c>
      <c r="AG77" s="26">
        <f>AG76/AG75</f>
        <v>9.6987565182511037</v>
      </c>
      <c r="AH77" s="27"/>
      <c r="AI77" s="26">
        <f>AI76/AI75</f>
        <v>15.578909738000286</v>
      </c>
      <c r="AJ77" s="26">
        <f>AJ76/AJ75</f>
        <v>8.8510982496703594</v>
      </c>
      <c r="AK77" s="27"/>
      <c r="AL77" s="26">
        <f>AL76/AL75</f>
        <v>26.709618039576622</v>
      </c>
      <c r="AM77" s="26">
        <f>AM76/AM75</f>
        <v>8.8538968260757986</v>
      </c>
      <c r="AN77" s="27"/>
      <c r="AO77" s="26">
        <f>AO76/AO75</f>
        <v>16.778926776715405</v>
      </c>
      <c r="AP77" s="26">
        <f>AP76/AP75</f>
        <v>8.8515951080517876</v>
      </c>
      <c r="AQ77" s="27"/>
      <c r="AR77" s="26">
        <f>AR76/AR75</f>
        <v>15.034948405452461</v>
      </c>
      <c r="AS77" s="26">
        <f>AS76/AS75</f>
        <v>13.00729477669365</v>
      </c>
      <c r="AT77" s="27"/>
      <c r="AU77" s="26">
        <f>AU76/AU75</f>
        <v>16.342457236684787</v>
      </c>
      <c r="AV77" s="26">
        <f>AV76/AV75</f>
        <v>9.2248903044931616</v>
      </c>
      <c r="AW77" s="27"/>
      <c r="AX77" s="26">
        <f>AX76/AX75</f>
        <v>13.781651320571845</v>
      </c>
      <c r="AY77" s="26">
        <f>AY76/AY75</f>
        <v>11.996157118547929</v>
      </c>
      <c r="AZ77" s="27"/>
      <c r="BA77" s="26">
        <f>BA76/BA75</f>
        <v>16.135936393170326</v>
      </c>
      <c r="BB77" s="26">
        <f>BB76/BB75</f>
        <v>9.6770614734279956</v>
      </c>
      <c r="BC77" s="27"/>
      <c r="BD77" s="26">
        <f>BD76/BD75</f>
        <v>22.050459806564135</v>
      </c>
      <c r="BE77" s="26">
        <f>BE76/BE75</f>
        <v>35.386592930274269</v>
      </c>
      <c r="BF77" s="27"/>
      <c r="BG77" s="26">
        <f>BG76/BG75</f>
        <v>16.479253045202913</v>
      </c>
      <c r="BH77" s="26">
        <f>BH76/BH75</f>
        <v>10.449125193005134</v>
      </c>
      <c r="BI77" s="27"/>
      <c r="BJ77" s="26">
        <f>BJ76/BJ75</f>
        <v>9.2321752146852596</v>
      </c>
      <c r="BK77" s="26">
        <f>BK76/BK75</f>
        <v>11.342892951931583</v>
      </c>
      <c r="BL77" s="27"/>
      <c r="BM77" s="26">
        <f>BM76/BM75</f>
        <v>15.721205628463709</v>
      </c>
      <c r="BN77" s="26">
        <f>BN76/BN75</f>
        <v>10.500416744233275</v>
      </c>
      <c r="BO77" s="27"/>
      <c r="BP77" s="26">
        <f>BP76/BP75</f>
        <v>8.5394999277352213</v>
      </c>
      <c r="BQ77" s="26">
        <f>BQ76/BQ75</f>
        <v>10.593652794437554</v>
      </c>
      <c r="BR77" s="27"/>
      <c r="BS77" s="26">
        <f>BS76/BS75</f>
        <v>15.243401251959192</v>
      </c>
      <c r="BT77" s="26">
        <f>BT76/BT75</f>
        <v>10.509203888108619</v>
      </c>
      <c r="BU77" s="27"/>
      <c r="BV77" s="26">
        <f>BV76/BV75</f>
        <v>12.960642693190513</v>
      </c>
      <c r="BW77" s="26">
        <f>BW76/BW75</f>
        <v>13.077399172525144</v>
      </c>
      <c r="BX77" s="27"/>
      <c r="BY77" s="26">
        <f>BY76/BY75</f>
        <v>14.988541604380398</v>
      </c>
      <c r="BZ77" s="26">
        <f>BZ76/BZ75</f>
        <v>10.647612158918692</v>
      </c>
      <c r="CA77" s="27"/>
      <c r="CB77" s="6"/>
    </row>
    <row r="78" spans="1:80" s="3" customFormat="1" ht="19.5" customHeight="1" thickTop="1">
      <c r="A78" s="127" t="s">
        <v>11</v>
      </c>
      <c r="B78" s="128"/>
      <c r="C78" s="5" t="s">
        <v>42</v>
      </c>
      <c r="D78" s="28">
        <f t="shared" ref="D78:L79" si="466">SUM(D6+D27+D30+D33+D36+D39+D42+D45+D48+D51+D54+D57+D60+D63+D66+D69+D72+D75)</f>
        <v>117569641</v>
      </c>
      <c r="E78" s="28">
        <f t="shared" si="466"/>
        <v>143505748</v>
      </c>
      <c r="F78" s="28">
        <f t="shared" si="466"/>
        <v>138090724</v>
      </c>
      <c r="G78" s="28">
        <f t="shared" si="466"/>
        <v>140971585</v>
      </c>
      <c r="H78" s="28">
        <f t="shared" ref="H78:J79" si="467">SUM(H6+H27+H30+H33+H36+H39+H42+H45+H48+H51+H54+H57+H60+H63+H66+H69+H72+H75)</f>
        <v>149697538</v>
      </c>
      <c r="I78" s="28">
        <f t="shared" si="467"/>
        <v>163831438</v>
      </c>
      <c r="J78" s="28">
        <f t="shared" si="467"/>
        <v>165348134</v>
      </c>
      <c r="K78" s="28">
        <f t="shared" si="466"/>
        <v>14500260</v>
      </c>
      <c r="L78" s="28">
        <f t="shared" si="466"/>
        <v>13257022</v>
      </c>
      <c r="M78" s="58">
        <f>(L78/K78-1)*100</f>
        <v>-8.5739014334915371</v>
      </c>
      <c r="N78" s="28">
        <f>SUM(N6+N27+N30+N33+N36+N39+N42+N45+N48+N51+N54+N57+N60+N63+N66+N69+N72+N75)</f>
        <v>11010983</v>
      </c>
      <c r="O78" s="28">
        <f>SUM(O6+O27+O30+O33+O36+O39+O42+O45+O48+O51+O54+O57+O60+O63+O66+O69+O72+O75)</f>
        <v>12311508</v>
      </c>
      <c r="P78" s="58">
        <f>(O78/N78-1)*100</f>
        <v>11.811161637430544</v>
      </c>
      <c r="Q78" s="28">
        <f>SUM(Q6+Q27+Q30+Q33+Q36+Q39+Q42+Q45+Q48+Q51+Q54+Q57+Q60+Q63+Q66+Q69+Q72+Q75)</f>
        <v>25511243</v>
      </c>
      <c r="R78" s="28">
        <f>R15+R18+R21+R24+R27+R30+R33+R36+R39+R42+R45+R48+R51+R54+R57+R60+R63+R66+R69+R72+R75</f>
        <v>25568022</v>
      </c>
      <c r="S78" s="58">
        <f>(R78/Q78-1)*100</f>
        <v>0.22256461592247145</v>
      </c>
      <c r="T78" s="28">
        <f>SUM(T6+T27+T30+T33+T36+T39+T42+T45+T48+T51+T54+T57+T60+T63+T66+T69+T72+T75)</f>
        <v>13674787</v>
      </c>
      <c r="U78" s="28">
        <f>SUM(U6+U27+U30+U33+U36+U39+U42+U45+U48+U51+U54+U57+U60+U63+U66+U69+U72+U75)</f>
        <v>17442416</v>
      </c>
      <c r="V78" s="58">
        <f>(U78/T78-1)*100</f>
        <v>27.551646691096533</v>
      </c>
      <c r="W78" s="28">
        <f>SUM(W6+W27+W30+W33+W36+W39+W42+W45+W48+W51+W54+W57+W60+W63+W66+W69+W72+W75)</f>
        <v>39186030</v>
      </c>
      <c r="X78" s="28">
        <f>X15+X18+X21+X24+X27+X30+X33+X36+X39+X42+X45+X48+X51+X54+X57+X60+X63+X66+X69+X72+X75</f>
        <v>43010434</v>
      </c>
      <c r="Y78" s="58">
        <f>(X78/W78-1)*100</f>
        <v>9.7596107592425199</v>
      </c>
      <c r="Z78" s="28">
        <f>SUM(Z6+Z27+Z30+Z33+Z36+Z39+Z42+Z45+Z48+Z51+Z54+Z57+Z60+Z63+Z66+Z69+Z72+Z75)</f>
        <v>16645376</v>
      </c>
      <c r="AA78" s="28">
        <f>SUM(AA6+AA27+AA30+AA33+AA36+AA39+AA42+AA45+AA48+AA51+AA54+AA57+AA60+AA63+AA66+AA69+AA72+AA75)</f>
        <v>14647300</v>
      </c>
      <c r="AB78" s="58">
        <f>(AA78/Z78-1)*100</f>
        <v>-12.003790121653001</v>
      </c>
      <c r="AC78" s="28">
        <f>SUM(AC6+AC27+AC30+AC33+AC36+AC39+AC42+AC45+AC48+AC51+AC54+AC57+AC60+AC63+AC66+AC69+AC72+AC75)</f>
        <v>55831406</v>
      </c>
      <c r="AD78" s="28">
        <f>AD15+AD18+AD21+AD24+AD27+AD30+AD33+AD36+AD39+AD42+AD45+AD48+AD51+AD54+AD57+AD60+AD63+AD66+AD69+AD72+AD75</f>
        <v>57657207</v>
      </c>
      <c r="AE78" s="58">
        <f>(AD78/AC78-1)*100</f>
        <v>3.2702042287811928</v>
      </c>
      <c r="AF78" s="28">
        <f>SUM(AF6+AF27+AF30+AF33+AF36+AF39+AF42+AF45+AF48+AF51+AF54+AF57+AF60+AF63+AF66+AF69+AF72+AF75)</f>
        <v>15536753</v>
      </c>
      <c r="AG78" s="28">
        <f>SUM(AG6+AG27+AG30+AG33+AG36+AG39+AG42+AG45+AG48+AG51+AG54+AG57+AG60+AG63+AG66+AG69+AG72+AG75)</f>
        <v>14307647</v>
      </c>
      <c r="AH78" s="58">
        <f>(AG78/AF78-1)*100</f>
        <v>-7.9109579717203449</v>
      </c>
      <c r="AI78" s="28">
        <f>SUM(AI6+AI27+AI30+AI33+AI36+AI39+AI42+AI45+AI48+AI51+AI54+AI57+AI60+AI63+AI66+AI69+AI72+AI75)</f>
        <v>71368159</v>
      </c>
      <c r="AJ78" s="28">
        <f>AJ15+AJ18+AJ21+AJ24+AJ27+AJ30+AJ33+AJ36+AJ39+AJ42+AJ45+AJ48+AJ51+AJ54+AJ57+AJ60+AJ63+AJ66+AJ69+AJ72+AJ75</f>
        <v>71964245</v>
      </c>
      <c r="AK78" s="58">
        <f>(AJ78/AI78-1)*100</f>
        <v>0.83522681312264702</v>
      </c>
      <c r="AL78" s="28">
        <f>SUM(AL6+AL27+AL30+AL33+AL36+AL39+AL42+AL45+AL48+AL51+AL54+AL57+AL60+AL63+AL66+AL69+AL72+AL75)</f>
        <v>13601284</v>
      </c>
      <c r="AM78" s="28">
        <f>SUM(AM6+AM27+AM30+AM33+AM36+AM39+AM42+AM45+AM48+AM51+AM54+AM57+AM60+AM63+AM66+AM69+AM72+AM75)</f>
        <v>11248029</v>
      </c>
      <c r="AN78" s="58">
        <f>(AM78/AL78-1)*100</f>
        <v>-17.301712103063217</v>
      </c>
      <c r="AO78" s="28">
        <f>SUM(AO6+AO27+AO30+AO33+AO36+AO39+AO42+AO45+AO48+AO51+AO54+AO57+AO60+AO63+AO66+AO69+AO72+AO75)</f>
        <v>84969443</v>
      </c>
      <c r="AP78" s="28">
        <f>AP15+AP18+AP21+AP24+AP27+AP30+AP33+AP36+AP39+AP42+AP45+AP48+AP51+AP54+AP57+AP60+AP63+AP66+AP69+AP72+AP75</f>
        <v>83192264</v>
      </c>
      <c r="AQ78" s="58">
        <f>(AP78/AO78-1)*100</f>
        <v>-2.091550723711344</v>
      </c>
      <c r="AR78" s="28">
        <f>SUM(AR6+AR27+AR30+AR33+AR36+AR39+AR42+AR45+AR48+AR51+AR54+AR57+AR60+AR63+AR66+AR69+AR72+AR75)</f>
        <v>13025954</v>
      </c>
      <c r="AS78" s="28">
        <f>SUM(AS6+AS27+AS30+AS33+AS36+AS39+AS42+AS45+AS48+AS51+AS54+AS57+AS60+AS63+AS66+AS69+AS72+AS75)</f>
        <v>15131084</v>
      </c>
      <c r="AT78" s="58">
        <f>(AS78/AR78-1)*100</f>
        <v>16.16104279195212</v>
      </c>
      <c r="AU78" s="28">
        <f>SUM(AU6+AU27+AU30+AU33+AU36+AU39+AU42+AU45+AU48+AU51+AU54+AU57+AU60+AU63+AU66+AU69+AU72+AU75)</f>
        <v>97995397</v>
      </c>
      <c r="AV78" s="28">
        <f>AV15+AV18+AV21+AV24+AV27+AV30+AV33+AV36+AV39+AV42+AV45+AV48+AV51+AV54+AV57+AV60+AV63+AV66+AV69+AV72+AV75</f>
        <v>98322346</v>
      </c>
      <c r="AW78" s="58">
        <f>(AV78/AU78-1)*100</f>
        <v>0.33363709930172014</v>
      </c>
      <c r="AX78" s="28">
        <f>SUM(AX6+AX27+AX30+AX33+AX36+AX39+AX42+AX45+AX48+AX51+AX54+AX57+AX60+AX63+AX66+AX69+AX72+AX75)</f>
        <v>11295973</v>
      </c>
      <c r="AY78" s="28">
        <f>SUM(AY6+AY27+AY30+AY33+AY36+AY39+AY42+AY45+AY48+AY51+AY54+AY57+AY60+AY63+AY66+AY69+AY72+AY75)</f>
        <v>13568005</v>
      </c>
      <c r="AZ78" s="58">
        <f>(AY78/AX78-1)*100</f>
        <v>20.113645809882861</v>
      </c>
      <c r="BA78" s="28">
        <f>SUM(BA6+BA27+BA30+BA33+BA36+BA39+BA42+BA45+BA48+BA51+BA54+BA57+BA60+BA63+BA66+BA69+BA72+BA75)</f>
        <v>109291370</v>
      </c>
      <c r="BB78" s="28">
        <f>BB15+BB18+BB21+BB24+BB27+BB30+BB33+BB36+BB39+BB42+BB45+BB48+BB51+BB54+BB57+BB60+BB63+BB66+BB69+BB72+BB75</f>
        <v>111869850</v>
      </c>
      <c r="BC78" s="58">
        <f>(BB78/BA78-1)*100</f>
        <v>2.3592713679039701</v>
      </c>
      <c r="BD78" s="28">
        <f>SUM(BD6+BD27+BD30+BD33+BD36+BD39+BD42+BD45+BD48+BD51+BD54+BD57+BD60+BD63+BD66+BD69+BD72+BD75)</f>
        <v>13681168</v>
      </c>
      <c r="BE78" s="28">
        <f>SUM(BE6+BE27+BE30+BE33+BE36+BE39+BE42+BE45+BE48+BE51+BE54+BE57+BE60+BE63+BE66+BE69+BE72+BE75)</f>
        <v>15158577</v>
      </c>
      <c r="BF78" s="58">
        <f>(BE78/BD78-1)*100</f>
        <v>10.798851384618624</v>
      </c>
      <c r="BG78" s="28">
        <f>SUM(BG6+BG27+BG30+BG33+BG36+BG39+BG42+BG45+BG48+BG51+BG54+BG57+BG60+BG63+BG66+BG69+BG72+BG75)</f>
        <v>122972538</v>
      </c>
      <c r="BH78" s="28">
        <f>BH15+BH18+BH21+BH24+BH27+BH30+BH33+BH36+BH39+BH42+BH45+BH48+BH51+BH54+BH57+BH60+BH63+BH66+BH69+BH72+BH75</f>
        <v>127028425</v>
      </c>
      <c r="BI78" s="58">
        <f>(BH78/BG78-1)*100</f>
        <v>3.2982054903998081</v>
      </c>
      <c r="BJ78" s="28">
        <f>SUM(BJ6+BJ27+BJ30+BJ33+BJ36+BJ39+BJ42+BJ45+BJ48+BJ51+BJ54+BJ57+BJ60+BJ63+BJ66+BJ69+BJ72+BJ75)</f>
        <v>12554121</v>
      </c>
      <c r="BK78" s="28">
        <f>SUM(BK6+BK27+BK30+BK33+BK36+BK39+BK42+BK45+BK48+BK51+BK54+BK57+BK60+BK63+BK66+BK69+BK72+BK75)</f>
        <v>9010556</v>
      </c>
      <c r="BL78" s="58">
        <f>(BK78/BJ78-1)*100</f>
        <v>-28.226309113955494</v>
      </c>
      <c r="BM78" s="28">
        <f>SUM(BM6+BM27+BM30+BM33+BM36+BM39+BM42+BM45+BM48+BM51+BM54+BM57+BM60+BM63+BM66+BM69+BM72+BM75)</f>
        <v>135526659</v>
      </c>
      <c r="BN78" s="28">
        <f>BN15+BN18+BN21+BN24+BN27+BN30+BN33+BN36+BN39+BN42+BN45+BN48+BN51+BN54+BN57+BN60+BN63+BN66+BN69+BN72+BN75</f>
        <v>136038480</v>
      </c>
      <c r="BO78" s="58">
        <f>(BN78/BM78-1)*100</f>
        <v>0.37765337371742369</v>
      </c>
      <c r="BP78" s="28">
        <f>SUM(BP6+BP27+BP30+BP33+BP36+BP39+BP42+BP45+BP48+BP51+BP54+BP57+BP60+BP63+BP66+BP69+BP72+BP75)</f>
        <v>15499617</v>
      </c>
      <c r="BQ78" s="28">
        <f>SUM(BQ6+BQ27+BQ30+BQ33+BQ36+BQ39+BQ42+BQ45+BQ48+BQ51+BQ54+BQ57+BQ60+BQ63+BQ66+BQ69+BQ72+BQ75)</f>
        <v>15168489</v>
      </c>
      <c r="BR78" s="58">
        <f>(BQ78/BP78-1)*100</f>
        <v>-2.136362466246744</v>
      </c>
      <c r="BS78" s="28">
        <f>SUM(BS6+BS27+BS30+BS33+BS36+BS39+BS42+BS45+BS48+BS51+BS54+BS57+BS60+BS63+BS66+BS69+BS72+BS75)</f>
        <v>151026276</v>
      </c>
      <c r="BT78" s="28">
        <f>BT15+BT18+BT21+BT24+BT27+BT30+BT33+BT36+BT39+BT42+BT45+BT48+BT51+BT54+BT57+BT60+BT63+BT66+BT69+BT72+BT75</f>
        <v>151186912</v>
      </c>
      <c r="BU78" s="58">
        <f>(BT78/BS78-1)*100</f>
        <v>0.10636294839183602</v>
      </c>
      <c r="BV78" s="28">
        <f>SUM(BV6+BV27+BV30+BV33+BV36+BV39+BV42+BV45+BV48+BV51+BV54+BV57+BV60+BV63+BV66+BV69+BV72+BV75)</f>
        <v>14321858</v>
      </c>
      <c r="BW78" s="28">
        <f>SUM(BW6+BW27+BW30+BW33+BW36+BW39+BW42+BW45+BW48+BW51+BW54+BW57+BW60+BW63+BW66+BW69+BW72+BW75)</f>
        <v>14821642</v>
      </c>
      <c r="BX78" s="58">
        <f>(BW78/BV78-1)*100</f>
        <v>3.4896589534681777</v>
      </c>
      <c r="BY78" s="28">
        <f>SUM(BY6+BY27+BY30+BY33+BY36+BY39+BY42+BY45+BY48+BY51+BY54+BY57+BY60+BY63+BY66+BY69+BY72+BY75)</f>
        <v>165348134</v>
      </c>
      <c r="BZ78" s="28">
        <f>BZ15+BZ18+BZ21+BZ24+BZ27+BZ30+BZ33+BZ36+BZ39+BZ42+BZ45+BZ48+BZ51+BZ54+BZ57+BZ60+BZ63+BZ66+BZ69+BZ72+BZ75</f>
        <v>166006312</v>
      </c>
      <c r="CA78" s="58">
        <f>(BZ78/BY78-1)*100</f>
        <v>0.39805589822985432</v>
      </c>
      <c r="CB78" s="6"/>
    </row>
    <row r="79" spans="1:80" s="3" customFormat="1" ht="19.5" customHeight="1">
      <c r="A79" s="129"/>
      <c r="B79" s="130"/>
      <c r="C79" s="4" t="s">
        <v>104</v>
      </c>
      <c r="D79" s="29">
        <f t="shared" si="466"/>
        <v>362913735</v>
      </c>
      <c r="E79" s="29">
        <f t="shared" si="466"/>
        <v>532716211</v>
      </c>
      <c r="F79" s="29">
        <f t="shared" si="466"/>
        <v>703213454</v>
      </c>
      <c r="G79" s="29">
        <f t="shared" si="466"/>
        <v>752883012</v>
      </c>
      <c r="H79" s="29">
        <f t="shared" si="467"/>
        <v>707490533</v>
      </c>
      <c r="I79" s="29">
        <f t="shared" si="467"/>
        <v>723562157</v>
      </c>
      <c r="J79" s="29">
        <f t="shared" si="467"/>
        <v>652618429</v>
      </c>
      <c r="K79" s="29">
        <f t="shared" si="466"/>
        <v>65091106</v>
      </c>
      <c r="L79" s="29">
        <f t="shared" si="466"/>
        <v>36956560</v>
      </c>
      <c r="M79" s="60">
        <f>(L79/K79-1)*100</f>
        <v>-43.223333768518238</v>
      </c>
      <c r="N79" s="29">
        <f>SUM(N7+N28+N31+N34+N37+N40+N43+N46+N49+N52+N55+N58+N61+N64+N67+N70+N73+N76)</f>
        <v>52759326</v>
      </c>
      <c r="O79" s="29">
        <f>SUM(O7+O28+O31+O34+O37+O40+O43+O46+O49+O52+O55+O58+O61+O64+O67+O70+O73+O76)</f>
        <v>40936333</v>
      </c>
      <c r="P79" s="60">
        <f>(O79/N79-1)*100</f>
        <v>-22.409294993647187</v>
      </c>
      <c r="Q79" s="29">
        <f>SUM(Q7+Q28+Q31+Q34+Q37+Q40+Q43+Q46+Q49+Q52+Q55+Q58+Q61+Q64+Q67+Q70+Q73+Q76)</f>
        <v>117850432</v>
      </c>
      <c r="R79" s="29">
        <f>R16+R19+R22+R25+R28+R31+R34+R37+R40+R43+R46+R49+R52+R55+R58+R61+R64+R67+R70+R73+R76</f>
        <v>77875161</v>
      </c>
      <c r="S79" s="60">
        <f>(R79/Q79-1)*100</f>
        <v>-33.920343202475486</v>
      </c>
      <c r="T79" s="29">
        <f>SUM(T7+T28+T31+T34+T37+T40+T43+T46+T49+T52+T55+T58+T61+T64+T67+T70+T73+T76)</f>
        <v>54177690</v>
      </c>
      <c r="U79" s="29">
        <f>SUM(U7+U28+U31+U34+U37+U40+U43+U46+U49+U52+U55+U58+U61+U64+U67+U70+U73+U76)</f>
        <v>66429471</v>
      </c>
      <c r="V79" s="60">
        <f>(U79/T79-1)*100</f>
        <v>22.614070478087946</v>
      </c>
      <c r="W79" s="29">
        <f>SUM(W7+W28+W31+W34+W37+W40+W43+W46+W49+W52+W55+W58+W61+W64+W67+W70+W73+W76)</f>
        <v>172028122</v>
      </c>
      <c r="X79" s="29">
        <f>X16+X19+X22+X25+X28+X31+X34+X37+X40+X43+X46+X49+X52+X55+X58+X61+X64+X67+X70+X73+X76</f>
        <v>144302826</v>
      </c>
      <c r="Y79" s="60">
        <f>(X79/W79-1)*100</f>
        <v>-16.11672305531534</v>
      </c>
      <c r="Z79" s="29">
        <f>SUM(Z7+Z28+Z31+Z34+Z37+Z40+Z43+Z46+Z49+Z52+Z55+Z58+Z61+Z64+Z67+Z70+Z73+Z76)</f>
        <v>60622681</v>
      </c>
      <c r="AA79" s="29">
        <f>SUM(AA7+AA28+AA31+AA34+AA37+AA40+AA43+AA46+AA49+AA52+AA55+AA58+AA61+AA64+AA67+AA70+AA73+AA76)</f>
        <v>49961562</v>
      </c>
      <c r="AB79" s="60">
        <f>(AA79/Z79-1)*100</f>
        <v>-17.586023620433412</v>
      </c>
      <c r="AC79" s="29">
        <f>SUM(AC7+AC28+AC31+AC34+AC37+AC40+AC43+AC46+AC49+AC52+AC55+AC58+AC61+AC64+AC67+AC70+AC73+AC76)</f>
        <v>232650803</v>
      </c>
      <c r="AD79" s="29">
        <f>AD16+AD19+AD22+AD25+AD28+AD31+AD34+AD37+AD40+AD43+AD46+AD49+AD52+AD55+AD58+AD61+AD64+AD67+AD70+AD73+AD76</f>
        <v>194258016</v>
      </c>
      <c r="AE79" s="60">
        <f>(AD79/AC79-1)*100</f>
        <v>-16.50232301153931</v>
      </c>
      <c r="AF79" s="29">
        <f>SUM(AF7+AF28+AF31+AF34+AF37+AF40+AF43+AF46+AF49+AF52+AF55+AF58+AF61+AF64+AF67+AF70+AF73+AF76)</f>
        <v>59388113</v>
      </c>
      <c r="AG79" s="29">
        <f>SUM(AG7+AG28+AG31+AG34+AG37+AG40+AG43+AG46+AG49+AG52+AG55+AG58+AG61+AG64+AG67+AG70+AG73+AG76)</f>
        <v>46234467</v>
      </c>
      <c r="AH79" s="60">
        <f>(AG79/AF79-1)*100</f>
        <v>-22.148617518795387</v>
      </c>
      <c r="AI79" s="29">
        <f>SUM(AI7+AI28+AI31+AI34+AI37+AI40+AI43+AI46+AI49+AI52+AI55+AI58+AI61+AI64+AI67+AI70+AI73+AI76)</f>
        <v>292038916</v>
      </c>
      <c r="AJ79" s="29">
        <f>AJ16+AJ19+AJ22+AJ25+AJ28+AJ31+AJ34+AJ37+AJ40+AJ43+AJ46+AJ49+AJ52+AJ55+AJ58+AJ61+AJ64+AJ67+AJ70+AJ73+AJ76</f>
        <v>240485850</v>
      </c>
      <c r="AK79" s="60">
        <f>(AJ79/AI79-1)*100</f>
        <v>-17.65280692933403</v>
      </c>
      <c r="AL79" s="29">
        <f>SUM(AL7+AL28+AL31+AL34+AL37+AL40+AL43+AL46+AL49+AL52+AL55+AL58+AL61+AL64+AL67+AL70+AL73+AL76)</f>
        <v>58297195</v>
      </c>
      <c r="AM79" s="29">
        <f>SUM(AM7+AM28+AM31+AM34+AM37+AM40+AM43+AM46+AM49+AM52+AM55+AM58+AM61+AM64+AM67+AM70+AM73+AM76)</f>
        <v>46201854</v>
      </c>
      <c r="AN79" s="60">
        <f>(AM79/AL79-1)*100</f>
        <v>-20.747723797002582</v>
      </c>
      <c r="AO79" s="29">
        <f>SUM(AO7+AO28+AO31+AO34+AO37+AO40+AO43+AO46+AO49+AO52+AO55+AO58+AO61+AO64+AO67+AO70+AO73+AO76)</f>
        <v>350336111</v>
      </c>
      <c r="AP79" s="29">
        <f>AP16+AP19+AP22+AP25+AP28+AP31+AP34+AP37+AP40+AP43+AP46+AP49+AP52+AP55+AP58+AP61+AP64+AP67+AP70+AP73+AP76</f>
        <v>286583186</v>
      </c>
      <c r="AQ79" s="60">
        <f>(AP79/AO79-1)*100</f>
        <v>-18.197645917237459</v>
      </c>
      <c r="AR79" s="29">
        <f>SUM(AR7+AR28+AR31+AR34+AR37+AR40+AR43+AR46+AR49+AR52+AR55+AR58+AR61+AR64+AR67+AR70+AR73+AR76)</f>
        <v>54914100</v>
      </c>
      <c r="AS79" s="29">
        <f>SUM(AS7+AS28+AS31+AS34+AS37+AS40+AS43+AS46+AS49+AS52+AS55+AS58+AS61+AS64+AS67+AS70+AS73+AS76)</f>
        <v>47385417</v>
      </c>
      <c r="AT79" s="60">
        <f>(AS79/AR79-1)*100</f>
        <v>-13.709926958649966</v>
      </c>
      <c r="AU79" s="29">
        <f>SUM(AU7+AU28+AU31+AU34+AU37+AU40+AU43+AU46+AU49+AU52+AU55+AU58+AU61+AU64+AU67+AU70+AU73+AU76)</f>
        <v>405250211</v>
      </c>
      <c r="AV79" s="29">
        <f>AV16+AV19+AV22+AV25+AV28+AV31+AV34+AV37+AV40+AV43+AV46+AV49+AV52+AV55+AV58+AV61+AV64+AV67+AV70+AV73+AV76</f>
        <v>333960618</v>
      </c>
      <c r="AW79" s="60">
        <f>(AV79/AU79-1)*100</f>
        <v>-17.591500526078686</v>
      </c>
      <c r="AX79" s="29">
        <f>SUM(AX7+AX28+AX31+AX34+AX37+AX40+AX43+AX46+AX49+AX52+AX55+AX58+AX61+AX64+AX67+AX70+AX73+AX76)</f>
        <v>49092548</v>
      </c>
      <c r="AY79" s="29">
        <f>SUM(AY7+AY28+AY31+AY34+AY37+AY40+AY43+AY46+AY49+AY52+AY55+AY58+AY61+AY64+AY67+AY70+AY73+AY76)</f>
        <v>48707716</v>
      </c>
      <c r="AZ79" s="60">
        <f>(AY79/AX79-1)*100</f>
        <v>-0.78389086669529151</v>
      </c>
      <c r="BA79" s="29">
        <f>SUM(BA7+BA28+BA31+BA34+BA37+BA40+BA43+BA46+BA49+BA52+BA55+BA58+BA61+BA64+BA67+BA70+BA73+BA76)</f>
        <v>454342759</v>
      </c>
      <c r="BB79" s="29">
        <f>BB16+BB19+BB22+BB25+BB28+BB31+BB34+BB37+BB40+BB43+BB46+BB49+BB52+BB55+BB58+BB61+BB64+BB67+BB70+BB73+BB76</f>
        <v>382599596</v>
      </c>
      <c r="BC79" s="60">
        <f>(BB79/BA79-1)*100</f>
        <v>-15.79053733747301</v>
      </c>
      <c r="BD79" s="29">
        <f>SUM(BD7+BD28+BD31+BD34+BD37+BD40+BD43+BD46+BD49+BD52+BD55+BD58+BD61+BD64+BD67+BD70+BD73+BD76)</f>
        <v>56054069</v>
      </c>
      <c r="BE79" s="29">
        <f>SUM(BE7+BE28+BE31+BE34+BE37+BE40+BE43+BE46+BE49+BE52+BE55+BE58+BE61+BE64+BE67+BE70+BE73+BE76)</f>
        <v>49030060</v>
      </c>
      <c r="BF79" s="60">
        <f>(BE79/BD79-1)*100</f>
        <v>-12.530774527715371</v>
      </c>
      <c r="BG79" s="29">
        <f>SUM(BG7+BG28+BG31+BG34+BG37+BG40+BG43+BG46+BG49+BG52+BG55+BG58+BG61+BG64+BG67+BG70+BG73+BG76)</f>
        <v>510396828</v>
      </c>
      <c r="BH79" s="29">
        <f>BH16+BH19+BH22+BH25+BH28+BH31+BH34+BH37+BH40+BH43+BH46+BH49+BH52+BH55+BH58+BH61+BH64+BH67+BH70+BH73+BH76</f>
        <v>431627614</v>
      </c>
      <c r="BI79" s="60">
        <f>(BH79/BG79-1)*100</f>
        <v>-15.432935645125134</v>
      </c>
      <c r="BJ79" s="29">
        <f>SUM(BJ7+BJ28+BJ31+BJ34+BJ37+BJ40+BJ43+BJ46+BJ49+BJ52+BJ55+BJ58+BJ61+BJ64+BJ67+BJ70+BJ73+BJ76)</f>
        <v>53694386</v>
      </c>
      <c r="BK79" s="29">
        <f>SUM(BK7+BK28+BK31+BK34+BK37+BK40+BK43+BK46+BK49+BK52+BK55+BK58+BK61+BK64+BK67+BK70+BK73+BK76)</f>
        <v>56114135</v>
      </c>
      <c r="BL79" s="60">
        <f>(BK79/BJ79-1)*100</f>
        <v>4.5065214080295179</v>
      </c>
      <c r="BM79" s="29">
        <f>SUM(BM7+BM28+BM31+BM34+BM37+BM40+BM43+BM46+BM49+BM52+BM55+BM58+BM61+BM64+BM67+BM70+BM73+BM76)</f>
        <v>564091214</v>
      </c>
      <c r="BN79" s="29">
        <f>BN16+BN19+BN22+BN25+BN28+BN31+BN34+BN37+BN40+BN43+BN46+BN49+BN52+BN55+BN58+BN61+BN64+BN67+BN70+BN73+BN76</f>
        <v>487735387</v>
      </c>
      <c r="BO79" s="60">
        <f>(BN79/BM79-1)*100</f>
        <v>-13.536078049958778</v>
      </c>
      <c r="BP79" s="29">
        <f>SUM(BP7+BP28+BP31+BP34+BP37+BP40+BP43+BP46+BP49+BP52+BP55+BP58+BP61+BP64+BP67+BP70+BP73+BP76)</f>
        <v>49848388</v>
      </c>
      <c r="BQ79" s="29">
        <f>SUM(BQ7+BQ28+BQ31+BQ34+BQ37+BQ40+BQ43+BQ46+BQ49+BQ52+BQ55+BQ58+BQ61+BQ64+BQ67+BQ70+BQ73+BQ76)</f>
        <v>46233016</v>
      </c>
      <c r="BR79" s="60">
        <f>(BQ79/BP79-1)*100</f>
        <v>-7.2527360363187636</v>
      </c>
      <c r="BS79" s="29">
        <f>SUM(BS7+BS28+BS31+BS34+BS37+BS40+BS43+BS46+BS49+BS52+BS55+BS58+BS61+BS64+BS67+BS70+BS73+BS76)</f>
        <v>613939602</v>
      </c>
      <c r="BT79" s="29">
        <f>BT16+BT19+BT22+BT25+BT28+BT31+BT34+BT37+BT40+BT43+BT46+BT49+BT52+BT55+BT58+BT61+BT64+BT67+BT70+BT73+BT76</f>
        <v>533903818</v>
      </c>
      <c r="BU79" s="60">
        <f>(BT79/BS79-1)*100</f>
        <v>-13.036426342146923</v>
      </c>
      <c r="BV79" s="29">
        <f>SUM(BV7+BV28+BV31+BV34+BV37+BV40+BV43+BV46+BV49+BV52+BV55+BV58+BV61+BV64+BV67+BV70+BV73+BV76)</f>
        <v>38678827</v>
      </c>
      <c r="BW79" s="29">
        <f>SUM(BW7+BW28+BW31+BW34+BW37+BW40+BW43+BW46+BW49+BW52+BW55+BW58+BW61+BW64+BW67+BW70+BW73+BW76)</f>
        <v>51823953</v>
      </c>
      <c r="BX79" s="60">
        <f>(BW79/BV79-1)*100</f>
        <v>33.985327424743247</v>
      </c>
      <c r="BY79" s="29">
        <f>SUM(BY7+BY28+BY31+BY34+BY37+BY40+BY43+BY46+BY49+BY52+BY55+BY58+BY61+BY64+BY67+BY70+BY73+BY76)</f>
        <v>652618429</v>
      </c>
      <c r="BZ79" s="29">
        <f>BZ16+BZ19+BZ22+BZ25+BZ28+BZ31+BZ34+BZ37+BZ40+BZ43+BZ46+BZ49+BZ52+BZ55+BZ58+BZ61+BZ64+BZ67+BZ70+BZ73+BZ76</f>
        <v>585682446</v>
      </c>
      <c r="CA79" s="60">
        <f>(BZ79/BY79-1)*100</f>
        <v>-10.256526635719631</v>
      </c>
      <c r="CB79" s="6"/>
    </row>
    <row r="80" spans="1:80" s="3" customFormat="1" ht="19.5" customHeight="1">
      <c r="A80" s="131"/>
      <c r="B80" s="132"/>
      <c r="C80" s="13" t="s">
        <v>105</v>
      </c>
      <c r="D80" s="30">
        <f>D79/D78</f>
        <v>3.0867980195669729</v>
      </c>
      <c r="E80" s="30">
        <f t="shared" ref="E80:R80" si="468">E79/E78</f>
        <v>3.7121593972667912</v>
      </c>
      <c r="F80" s="30">
        <f t="shared" si="468"/>
        <v>5.092401818387164</v>
      </c>
      <c r="G80" s="30">
        <f>G79/G78</f>
        <v>5.340672107786828</v>
      </c>
      <c r="H80" s="30">
        <f>H79/H78</f>
        <v>4.7261333917195083</v>
      </c>
      <c r="I80" s="31">
        <f>I79/I78</f>
        <v>4.4165037298885208</v>
      </c>
      <c r="J80" s="30">
        <f t="shared" ref="J80" si="469">J79/J78</f>
        <v>3.9469355547731793</v>
      </c>
      <c r="K80" s="30">
        <f t="shared" si="468"/>
        <v>4.4889613013835614</v>
      </c>
      <c r="L80" s="30">
        <f t="shared" si="468"/>
        <v>2.7876969654270769</v>
      </c>
      <c r="M80" s="31"/>
      <c r="N80" s="30">
        <f t="shared" si="468"/>
        <v>4.7915182504595641</v>
      </c>
      <c r="O80" s="30">
        <f t="shared" si="468"/>
        <v>3.3250462087991171</v>
      </c>
      <c r="P80" s="31"/>
      <c r="Q80" s="30">
        <f t="shared" si="468"/>
        <v>4.6195488005033702</v>
      </c>
      <c r="R80" s="30">
        <f t="shared" si="468"/>
        <v>3.0458031129666581</v>
      </c>
      <c r="S80" s="31"/>
      <c r="T80" s="30">
        <f t="shared" ref="T80:U80" si="470">T79/T78</f>
        <v>3.9618671939826191</v>
      </c>
      <c r="U80" s="30">
        <f t="shared" si="470"/>
        <v>3.8085017006818322</v>
      </c>
      <c r="V80" s="31"/>
      <c r="W80" s="30">
        <f t="shared" ref="W80:X80" si="471">W79/W78</f>
        <v>4.3900370106387401</v>
      </c>
      <c r="X80" s="30">
        <f t="shared" si="471"/>
        <v>3.3550655638582954</v>
      </c>
      <c r="Y80" s="31"/>
      <c r="Z80" s="30">
        <f t="shared" ref="Z80:AA80" si="472">Z79/Z78</f>
        <v>3.642013313487181</v>
      </c>
      <c r="AA80" s="30">
        <f t="shared" si="472"/>
        <v>3.4109741727144254</v>
      </c>
      <c r="AB80" s="31"/>
      <c r="AC80" s="30">
        <f t="shared" ref="AC80:AD80" si="473">AC79/AC78</f>
        <v>4.1670238969084892</v>
      </c>
      <c r="AD80" s="30">
        <f t="shared" si="473"/>
        <v>3.3691887988955136</v>
      </c>
      <c r="AE80" s="31"/>
      <c r="AF80" s="30">
        <f t="shared" ref="AF80:AG80" si="474">AF79/AF78</f>
        <v>3.8224275690036391</v>
      </c>
      <c r="AG80" s="30">
        <f t="shared" si="474"/>
        <v>3.2314514748651542</v>
      </c>
      <c r="AH80" s="31"/>
      <c r="AI80" s="30">
        <f t="shared" ref="AI80:AJ80" si="475">AI79/AI78</f>
        <v>4.0920057360594102</v>
      </c>
      <c r="AJ80" s="30">
        <f t="shared" si="475"/>
        <v>3.3417407491734261</v>
      </c>
      <c r="AK80" s="31"/>
      <c r="AL80" s="30">
        <f t="shared" ref="AL80:AM80" si="476">AL79/AL78</f>
        <v>4.2861537925389985</v>
      </c>
      <c r="AM80" s="30">
        <f t="shared" si="476"/>
        <v>4.1075511096210722</v>
      </c>
      <c r="AN80" s="31"/>
      <c r="AO80" s="30">
        <f t="shared" ref="AO80:AP80" si="477">AO79/AO78</f>
        <v>4.123083530158012</v>
      </c>
      <c r="AP80" s="30">
        <f t="shared" si="477"/>
        <v>3.4448297500354119</v>
      </c>
      <c r="AQ80" s="31"/>
      <c r="AR80" s="30">
        <f t="shared" ref="AR80:AS80" si="478">AR79/AR78</f>
        <v>4.2157449657813935</v>
      </c>
      <c r="AS80" s="30">
        <f t="shared" si="478"/>
        <v>3.1316604282944964</v>
      </c>
      <c r="AT80" s="31"/>
      <c r="AU80" s="30">
        <f t="shared" ref="AU80:AV80" si="479">AU79/AU78</f>
        <v>4.135400471922166</v>
      </c>
      <c r="AV80" s="30">
        <f t="shared" si="479"/>
        <v>3.3965891944848425</v>
      </c>
      <c r="AW80" s="31"/>
      <c r="AX80" s="30">
        <f t="shared" ref="AX80:AY80" si="480">AX79/AX78</f>
        <v>4.3460220735300981</v>
      </c>
      <c r="AY80" s="30">
        <f t="shared" si="480"/>
        <v>3.5898951982992342</v>
      </c>
      <c r="AZ80" s="31"/>
      <c r="BA80" s="30">
        <f t="shared" ref="BA80:BB80" si="481">BA79/BA78</f>
        <v>4.1571695825571586</v>
      </c>
      <c r="BB80" s="30">
        <f t="shared" si="481"/>
        <v>3.4200420935578264</v>
      </c>
      <c r="BC80" s="31"/>
      <c r="BD80" s="30">
        <f t="shared" ref="BD80:BE80" si="482">BD79/BD78</f>
        <v>4.0971698469019602</v>
      </c>
      <c r="BE80" s="30">
        <f t="shared" si="482"/>
        <v>3.2344764287571319</v>
      </c>
      <c r="BF80" s="31"/>
      <c r="BG80" s="30">
        <f t="shared" ref="BG80:BH80" si="483">BG79/BG78</f>
        <v>4.1504943811113337</v>
      </c>
      <c r="BH80" s="30">
        <f t="shared" si="483"/>
        <v>3.3978821196909275</v>
      </c>
      <c r="BI80" s="31"/>
      <c r="BJ80" s="30">
        <f t="shared" ref="BJ80:BK80" si="484">BJ79/BJ78</f>
        <v>4.2770326970721406</v>
      </c>
      <c r="BK80" s="30">
        <f t="shared" si="484"/>
        <v>6.2275996065059696</v>
      </c>
      <c r="BL80" s="31"/>
      <c r="BM80" s="30">
        <f t="shared" ref="BM80:BN80" si="485">BM79/BM78</f>
        <v>4.1622158928893835</v>
      </c>
      <c r="BN80" s="30">
        <f t="shared" si="485"/>
        <v>3.5852751883143652</v>
      </c>
      <c r="BO80" s="31"/>
      <c r="BP80" s="30">
        <f t="shared" ref="BP80:BQ80" si="486">BP79/BP78</f>
        <v>3.2161045011628353</v>
      </c>
      <c r="BQ80" s="30">
        <f t="shared" si="486"/>
        <v>3.0479645006170357</v>
      </c>
      <c r="BR80" s="31"/>
      <c r="BS80" s="30">
        <f t="shared" ref="BS80:BT80" si="487">BS79/BS78</f>
        <v>4.0651177944690895</v>
      </c>
      <c r="BT80" s="30">
        <f t="shared" si="487"/>
        <v>3.5314155897304125</v>
      </c>
      <c r="BU80" s="31"/>
      <c r="BV80" s="30">
        <f t="shared" ref="BV80:BW80" si="488">BV79/BV78</f>
        <v>2.7006849949217484</v>
      </c>
      <c r="BW80" s="30">
        <f t="shared" si="488"/>
        <v>3.4965055153808193</v>
      </c>
      <c r="BX80" s="31"/>
      <c r="BY80" s="30">
        <f t="shared" ref="BY80:BZ80" si="489">BY79/BY78</f>
        <v>3.9469355547731793</v>
      </c>
      <c r="BZ80" s="30">
        <f t="shared" si="489"/>
        <v>3.52807335422282</v>
      </c>
      <c r="CA80" s="31"/>
      <c r="CB80" s="6"/>
    </row>
    <row r="86" spans="10:10">
      <c r="J86" s="6"/>
    </row>
    <row r="87" spans="10:10">
      <c r="J87" s="6"/>
    </row>
  </sheetData>
  <mergeCells count="82">
    <mergeCell ref="BV4:BX4"/>
    <mergeCell ref="BY4:CA4"/>
    <mergeCell ref="BP4:BR4"/>
    <mergeCell ref="BS4:BU4"/>
    <mergeCell ref="BJ4:BL4"/>
    <mergeCell ref="BM4:BO4"/>
    <mergeCell ref="Q4:S4"/>
    <mergeCell ref="D4:D5"/>
    <mergeCell ref="E4:E5"/>
    <mergeCell ref="K4:M4"/>
    <mergeCell ref="H4:H5"/>
    <mergeCell ref="F4:F5"/>
    <mergeCell ref="J4:J5"/>
    <mergeCell ref="A1:C2"/>
    <mergeCell ref="B3:C3"/>
    <mergeCell ref="A4:C5"/>
    <mergeCell ref="G4:G5"/>
    <mergeCell ref="A12:A14"/>
    <mergeCell ref="B12:B14"/>
    <mergeCell ref="A6:A8"/>
    <mergeCell ref="A9:A11"/>
    <mergeCell ref="B9:B11"/>
    <mergeCell ref="B6:B8"/>
    <mergeCell ref="A60:A62"/>
    <mergeCell ref="B60:B62"/>
    <mergeCell ref="A39:A41"/>
    <mergeCell ref="A54:A56"/>
    <mergeCell ref="A42:A44"/>
    <mergeCell ref="B39:B41"/>
    <mergeCell ref="A45:A47"/>
    <mergeCell ref="B45:B47"/>
    <mergeCell ref="B42:B44"/>
    <mergeCell ref="B51:B53"/>
    <mergeCell ref="B54:B56"/>
    <mergeCell ref="A57:A59"/>
    <mergeCell ref="B57:B59"/>
    <mergeCell ref="A48:A50"/>
    <mergeCell ref="B48:B50"/>
    <mergeCell ref="A51:A53"/>
    <mergeCell ref="B36:B38"/>
    <mergeCell ref="A36:A38"/>
    <mergeCell ref="A15:A17"/>
    <mergeCell ref="B15:B17"/>
    <mergeCell ref="B18:B20"/>
    <mergeCell ref="B30:B32"/>
    <mergeCell ref="A30:A32"/>
    <mergeCell ref="B27:B29"/>
    <mergeCell ref="B24:B26"/>
    <mergeCell ref="A27:A29"/>
    <mergeCell ref="A24:A26"/>
    <mergeCell ref="A33:A35"/>
    <mergeCell ref="B33:B35"/>
    <mergeCell ref="A21:A23"/>
    <mergeCell ref="B21:B23"/>
    <mergeCell ref="A18:A20"/>
    <mergeCell ref="A78:B80"/>
    <mergeCell ref="A63:A65"/>
    <mergeCell ref="B63:B65"/>
    <mergeCell ref="A66:A68"/>
    <mergeCell ref="B66:B68"/>
    <mergeCell ref="A72:A74"/>
    <mergeCell ref="B72:B74"/>
    <mergeCell ref="A75:A77"/>
    <mergeCell ref="B75:B77"/>
    <mergeCell ref="B69:B71"/>
    <mergeCell ref="A69:A71"/>
    <mergeCell ref="BD4:BF4"/>
    <mergeCell ref="BG4:BI4"/>
    <mergeCell ref="AF4:AH4"/>
    <mergeCell ref="I4:I5"/>
    <mergeCell ref="T4:V4"/>
    <mergeCell ref="W4:Y4"/>
    <mergeCell ref="AX4:AZ4"/>
    <mergeCell ref="BA4:BC4"/>
    <mergeCell ref="AR4:AT4"/>
    <mergeCell ref="AU4:AW4"/>
    <mergeCell ref="AL4:AN4"/>
    <mergeCell ref="AO4:AQ4"/>
    <mergeCell ref="AI4:AK4"/>
    <mergeCell ref="Z4:AB4"/>
    <mergeCell ref="AC4:AE4"/>
    <mergeCell ref="N4:P4"/>
  </mergeCells>
  <phoneticPr fontId="6" type="noConversion"/>
  <printOptions horizontalCentered="1"/>
  <pageMargins left="0.19685039370078741" right="3.937007874015748E-2" top="0.59055118110236227" bottom="0.47244094488188981" header="0.31496062992125984" footer="0.31496062992125984"/>
  <pageSetup paperSize="9" scale="75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B100"/>
  <sheetViews>
    <sheetView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sqref="A1:C2"/>
    </sheetView>
  </sheetViews>
  <sheetFormatPr defaultRowHeight="16.5"/>
  <cols>
    <col min="1" max="3" width="10.625" customWidth="1"/>
    <col min="4" max="6" width="12.625" hidden="1" customWidth="1"/>
    <col min="7" max="9" width="14.25" hidden="1" customWidth="1"/>
    <col min="10" max="10" width="14.25" customWidth="1"/>
    <col min="11" max="12" width="14.25" hidden="1" customWidth="1"/>
    <col min="13" max="13" width="9" hidden="1" customWidth="1"/>
    <col min="14" max="15" width="14.25" hidden="1" customWidth="1"/>
    <col min="16" max="16" width="9" hidden="1" customWidth="1"/>
    <col min="17" max="18" width="14.25" hidden="1" customWidth="1"/>
    <col min="19" max="19" width="9" hidden="1" customWidth="1"/>
    <col min="20" max="21" width="14.25" hidden="1" customWidth="1"/>
    <col min="22" max="22" width="9" hidden="1" customWidth="1"/>
    <col min="23" max="24" width="14.25" hidden="1" customWidth="1"/>
    <col min="25" max="25" width="9" hidden="1" customWidth="1"/>
    <col min="26" max="27" width="14.25" hidden="1" customWidth="1"/>
    <col min="28" max="28" width="9" hidden="1" customWidth="1"/>
    <col min="29" max="30" width="14.25" hidden="1" customWidth="1"/>
    <col min="31" max="31" width="9" hidden="1" customWidth="1"/>
    <col min="32" max="33" width="14.25" hidden="1" customWidth="1"/>
    <col min="34" max="34" width="9" hidden="1" customWidth="1"/>
    <col min="35" max="36" width="14.25" hidden="1" customWidth="1"/>
    <col min="37" max="37" width="9" hidden="1" customWidth="1"/>
    <col min="38" max="39" width="14.25" hidden="1" customWidth="1"/>
    <col min="40" max="40" width="9" hidden="1" customWidth="1"/>
    <col min="41" max="42" width="14.25" hidden="1" customWidth="1"/>
    <col min="43" max="43" width="9" hidden="1" customWidth="1"/>
    <col min="44" max="45" width="14.25" hidden="1" customWidth="1"/>
    <col min="46" max="46" width="9" hidden="1" customWidth="1"/>
    <col min="47" max="48" width="14.25" hidden="1" customWidth="1"/>
    <col min="49" max="49" width="9" hidden="1" customWidth="1"/>
    <col min="50" max="51" width="14.25" hidden="1" customWidth="1"/>
    <col min="52" max="52" width="9" hidden="1" customWidth="1"/>
    <col min="53" max="54" width="14.25" hidden="1" customWidth="1"/>
    <col min="55" max="55" width="9" hidden="1" customWidth="1"/>
    <col min="56" max="57" width="14.25" hidden="1" customWidth="1"/>
    <col min="58" max="58" width="9" hidden="1" customWidth="1"/>
    <col min="59" max="60" width="14.25" hidden="1" customWidth="1"/>
    <col min="61" max="61" width="9" hidden="1" customWidth="1"/>
    <col min="62" max="63" width="14.25" hidden="1" customWidth="1"/>
    <col min="64" max="64" width="9" hidden="1" customWidth="1"/>
    <col min="65" max="66" width="14.25" hidden="1" customWidth="1"/>
    <col min="67" max="67" width="9" hidden="1" customWidth="1"/>
    <col min="68" max="69" width="14.25" hidden="1" customWidth="1"/>
    <col min="70" max="70" width="9" hidden="1" customWidth="1"/>
    <col min="71" max="72" width="14.25" hidden="1" customWidth="1"/>
    <col min="73" max="73" width="9" hidden="1" customWidth="1"/>
    <col min="74" max="75" width="14.25" customWidth="1"/>
    <col min="76" max="76" width="9" customWidth="1"/>
    <col min="77" max="78" width="14.25" customWidth="1"/>
    <col min="79" max="79" width="9" customWidth="1"/>
  </cols>
  <sheetData>
    <row r="1" spans="1:80">
      <c r="A1" s="138" t="s">
        <v>48</v>
      </c>
      <c r="B1" s="139"/>
      <c r="C1" s="140"/>
    </row>
    <row r="2" spans="1:80" ht="17.25" thickBot="1">
      <c r="A2" s="141"/>
      <c r="B2" s="142"/>
      <c r="C2" s="143"/>
    </row>
    <row r="3" spans="1:80">
      <c r="B3" s="173" t="s">
        <v>40</v>
      </c>
      <c r="C3" s="173"/>
    </row>
    <row r="4" spans="1:80" s="3" customFormat="1">
      <c r="A4" s="145"/>
      <c r="B4" s="146"/>
      <c r="C4" s="147"/>
      <c r="D4" s="112" t="s">
        <v>0</v>
      </c>
      <c r="E4" s="112" t="s">
        <v>1</v>
      </c>
      <c r="F4" s="112" t="s">
        <v>157</v>
      </c>
      <c r="G4" s="112" t="s">
        <v>158</v>
      </c>
      <c r="H4" s="112" t="s">
        <v>39</v>
      </c>
      <c r="I4" s="112" t="s">
        <v>41</v>
      </c>
      <c r="J4" s="112" t="s">
        <v>43</v>
      </c>
      <c r="K4" s="110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188</v>
      </c>
      <c r="U4" s="110"/>
      <c r="V4" s="111"/>
      <c r="W4" s="109" t="s">
        <v>189</v>
      </c>
      <c r="X4" s="110"/>
      <c r="Y4" s="111"/>
      <c r="Z4" s="109" t="s">
        <v>194</v>
      </c>
      <c r="AA4" s="110"/>
      <c r="AB4" s="111"/>
      <c r="AC4" s="109" t="s">
        <v>195</v>
      </c>
      <c r="AD4" s="110"/>
      <c r="AE4" s="111"/>
      <c r="AF4" s="109" t="s">
        <v>198</v>
      </c>
      <c r="AG4" s="110"/>
      <c r="AH4" s="111"/>
      <c r="AI4" s="109" t="s">
        <v>199</v>
      </c>
      <c r="AJ4" s="110"/>
      <c r="AK4" s="111"/>
      <c r="AL4" s="109" t="s">
        <v>202</v>
      </c>
      <c r="AM4" s="110"/>
      <c r="AN4" s="111"/>
      <c r="AO4" s="109" t="s">
        <v>203</v>
      </c>
      <c r="AP4" s="110"/>
      <c r="AQ4" s="111"/>
      <c r="AR4" s="109" t="s">
        <v>206</v>
      </c>
      <c r="AS4" s="110"/>
      <c r="AT4" s="111"/>
      <c r="AU4" s="109" t="s">
        <v>207</v>
      </c>
      <c r="AV4" s="110"/>
      <c r="AW4" s="111"/>
      <c r="AX4" s="109" t="s">
        <v>211</v>
      </c>
      <c r="AY4" s="110"/>
      <c r="AZ4" s="111"/>
      <c r="BA4" s="109" t="s">
        <v>212</v>
      </c>
      <c r="BB4" s="110"/>
      <c r="BC4" s="111"/>
      <c r="BD4" s="109" t="s">
        <v>215</v>
      </c>
      <c r="BE4" s="110"/>
      <c r="BF4" s="111"/>
      <c r="BG4" s="109" t="s">
        <v>216</v>
      </c>
      <c r="BH4" s="110"/>
      <c r="BI4" s="111"/>
      <c r="BJ4" s="109" t="s">
        <v>219</v>
      </c>
      <c r="BK4" s="110"/>
      <c r="BL4" s="111"/>
      <c r="BM4" s="109" t="s">
        <v>220</v>
      </c>
      <c r="BN4" s="110"/>
      <c r="BO4" s="111"/>
      <c r="BP4" s="109" t="s">
        <v>223</v>
      </c>
      <c r="BQ4" s="110"/>
      <c r="BR4" s="111"/>
      <c r="BS4" s="109" t="s">
        <v>224</v>
      </c>
      <c r="BT4" s="110"/>
      <c r="BU4" s="111"/>
      <c r="BV4" s="109" t="s">
        <v>225</v>
      </c>
      <c r="BW4" s="110"/>
      <c r="BX4" s="111"/>
      <c r="BY4" s="109" t="s">
        <v>226</v>
      </c>
      <c r="BZ4" s="110"/>
      <c r="CA4" s="111"/>
    </row>
    <row r="5" spans="1:80" s="3" customFormat="1">
      <c r="A5" s="174"/>
      <c r="B5" s="175"/>
      <c r="C5" s="176"/>
      <c r="D5" s="177"/>
      <c r="E5" s="177"/>
      <c r="F5" s="177"/>
      <c r="G5" s="177"/>
      <c r="H5" s="177"/>
      <c r="I5" s="177"/>
      <c r="J5" s="177"/>
      <c r="K5" s="96" t="s">
        <v>184</v>
      </c>
      <c r="L5" s="96" t="s">
        <v>182</v>
      </c>
      <c r="M5" s="89" t="s">
        <v>5</v>
      </c>
      <c r="N5" s="96" t="s">
        <v>184</v>
      </c>
      <c r="O5" s="96" t="s">
        <v>182</v>
      </c>
      <c r="P5" s="89" t="s">
        <v>5</v>
      </c>
      <c r="Q5" s="96" t="s">
        <v>184</v>
      </c>
      <c r="R5" s="96" t="s">
        <v>182</v>
      </c>
      <c r="S5" s="89" t="s">
        <v>5</v>
      </c>
      <c r="T5" s="97" t="s">
        <v>184</v>
      </c>
      <c r="U5" s="97" t="s">
        <v>182</v>
      </c>
      <c r="V5" s="97" t="s">
        <v>5</v>
      </c>
      <c r="W5" s="97" t="s">
        <v>184</v>
      </c>
      <c r="X5" s="97" t="s">
        <v>182</v>
      </c>
      <c r="Y5" s="97" t="s">
        <v>5</v>
      </c>
      <c r="Z5" s="98" t="s">
        <v>184</v>
      </c>
      <c r="AA5" s="98" t="s">
        <v>182</v>
      </c>
      <c r="AB5" s="98" t="s">
        <v>5</v>
      </c>
      <c r="AC5" s="98" t="s">
        <v>184</v>
      </c>
      <c r="AD5" s="98" t="s">
        <v>182</v>
      </c>
      <c r="AE5" s="98" t="s">
        <v>5</v>
      </c>
      <c r="AF5" s="99" t="s">
        <v>184</v>
      </c>
      <c r="AG5" s="99" t="s">
        <v>182</v>
      </c>
      <c r="AH5" s="99" t="s">
        <v>5</v>
      </c>
      <c r="AI5" s="99" t="s">
        <v>184</v>
      </c>
      <c r="AJ5" s="99" t="s">
        <v>182</v>
      </c>
      <c r="AK5" s="99" t="s">
        <v>5</v>
      </c>
      <c r="AL5" s="100" t="s">
        <v>184</v>
      </c>
      <c r="AM5" s="100" t="s">
        <v>182</v>
      </c>
      <c r="AN5" s="100" t="s">
        <v>5</v>
      </c>
      <c r="AO5" s="100" t="s">
        <v>184</v>
      </c>
      <c r="AP5" s="100" t="s">
        <v>182</v>
      </c>
      <c r="AQ5" s="100" t="s">
        <v>5</v>
      </c>
      <c r="AR5" s="101" t="s">
        <v>184</v>
      </c>
      <c r="AS5" s="101" t="s">
        <v>182</v>
      </c>
      <c r="AT5" s="101" t="s">
        <v>5</v>
      </c>
      <c r="AU5" s="101" t="s">
        <v>184</v>
      </c>
      <c r="AV5" s="101" t="s">
        <v>182</v>
      </c>
      <c r="AW5" s="101" t="s">
        <v>5</v>
      </c>
      <c r="AX5" s="102" t="s">
        <v>184</v>
      </c>
      <c r="AY5" s="102" t="s">
        <v>182</v>
      </c>
      <c r="AZ5" s="102" t="s">
        <v>5</v>
      </c>
      <c r="BA5" s="102" t="s">
        <v>184</v>
      </c>
      <c r="BB5" s="102" t="s">
        <v>182</v>
      </c>
      <c r="BC5" s="102" t="s">
        <v>5</v>
      </c>
      <c r="BD5" s="103" t="s">
        <v>184</v>
      </c>
      <c r="BE5" s="103" t="s">
        <v>182</v>
      </c>
      <c r="BF5" s="103" t="s">
        <v>5</v>
      </c>
      <c r="BG5" s="103" t="s">
        <v>184</v>
      </c>
      <c r="BH5" s="103" t="s">
        <v>182</v>
      </c>
      <c r="BI5" s="103" t="s">
        <v>5</v>
      </c>
      <c r="BJ5" s="104" t="s">
        <v>184</v>
      </c>
      <c r="BK5" s="104" t="s">
        <v>182</v>
      </c>
      <c r="BL5" s="104" t="s">
        <v>5</v>
      </c>
      <c r="BM5" s="104" t="s">
        <v>184</v>
      </c>
      <c r="BN5" s="104" t="s">
        <v>182</v>
      </c>
      <c r="BO5" s="104" t="s">
        <v>5</v>
      </c>
      <c r="BP5" s="105" t="s">
        <v>184</v>
      </c>
      <c r="BQ5" s="105" t="s">
        <v>182</v>
      </c>
      <c r="BR5" s="105" t="s">
        <v>5</v>
      </c>
      <c r="BS5" s="105" t="s">
        <v>184</v>
      </c>
      <c r="BT5" s="105" t="s">
        <v>182</v>
      </c>
      <c r="BU5" s="105" t="s">
        <v>5</v>
      </c>
      <c r="BV5" s="106" t="s">
        <v>184</v>
      </c>
      <c r="BW5" s="106" t="s">
        <v>182</v>
      </c>
      <c r="BX5" s="106" t="s">
        <v>5</v>
      </c>
      <c r="BY5" s="106" t="s">
        <v>184</v>
      </c>
      <c r="BZ5" s="106" t="s">
        <v>182</v>
      </c>
      <c r="CA5" s="106" t="s">
        <v>5</v>
      </c>
    </row>
    <row r="6" spans="1:80" s="1" customFormat="1" ht="19.5" customHeight="1">
      <c r="A6" s="190" t="s">
        <v>135</v>
      </c>
      <c r="B6" s="125">
        <v>8101</v>
      </c>
      <c r="C6" s="81" t="s">
        <v>42</v>
      </c>
      <c r="D6" s="14">
        <v>806489</v>
      </c>
      <c r="E6" s="14">
        <v>1415685</v>
      </c>
      <c r="F6" s="14">
        <v>1159321</v>
      </c>
      <c r="G6" s="14">
        <v>1372315</v>
      </c>
      <c r="H6" s="14">
        <v>1494807</v>
      </c>
      <c r="I6" s="14">
        <v>1603843</v>
      </c>
      <c r="J6" s="14">
        <v>731776</v>
      </c>
      <c r="K6" s="14">
        <v>127131</v>
      </c>
      <c r="L6" s="14">
        <v>66034</v>
      </c>
      <c r="M6" s="15">
        <f t="shared" ref="M6:M76" si="0">(L6/K6-1)*100</f>
        <v>-48.058302066372484</v>
      </c>
      <c r="N6" s="63">
        <f>Q6-K6</f>
        <v>57410</v>
      </c>
      <c r="O6" s="63">
        <f>R6-L6</f>
        <v>77535</v>
      </c>
      <c r="P6" s="15">
        <f t="shared" ref="P6:P76" si="1">(O6/N6-1)*100</f>
        <v>35.05486848981014</v>
      </c>
      <c r="Q6" s="14">
        <v>184541</v>
      </c>
      <c r="R6" s="14">
        <v>143569</v>
      </c>
      <c r="S6" s="15">
        <f t="shared" ref="S6:S76" si="2">(R6/Q6-1)*100</f>
        <v>-22.202112267734542</v>
      </c>
      <c r="T6" s="63">
        <f>W6-Q6</f>
        <v>58120</v>
      </c>
      <c r="U6" s="63">
        <f>X6-R6</f>
        <v>67873</v>
      </c>
      <c r="V6" s="15">
        <f t="shared" ref="V6:V7" si="3">(U6/T6-1)*100</f>
        <v>16.780798348245018</v>
      </c>
      <c r="W6" s="14">
        <v>242661</v>
      </c>
      <c r="X6" s="14">
        <v>211442</v>
      </c>
      <c r="Y6" s="15">
        <f t="shared" ref="Y6:Y7" si="4">(X6/W6-1)*100</f>
        <v>-12.865272952802464</v>
      </c>
      <c r="Z6" s="63">
        <f>AC6-W6</f>
        <v>75112</v>
      </c>
      <c r="AA6" s="63">
        <f>AD6-X6</f>
        <v>75878</v>
      </c>
      <c r="AB6" s="15">
        <f t="shared" ref="AB6:AB7" si="5">(AA6/Z6-1)*100</f>
        <v>1.0198104164447663</v>
      </c>
      <c r="AC6" s="14">
        <v>317773</v>
      </c>
      <c r="AD6" s="14">
        <v>287320</v>
      </c>
      <c r="AE6" s="15">
        <f t="shared" ref="AE6:AE7" si="6">(AD6/AC6-1)*100</f>
        <v>-9.5832559720303472</v>
      </c>
      <c r="AF6" s="63">
        <f>AI6-AC6</f>
        <v>58379</v>
      </c>
      <c r="AG6" s="63">
        <f>AJ6-AD6</f>
        <v>20482</v>
      </c>
      <c r="AH6" s="15">
        <f t="shared" ref="AH6:AH7" si="7">(AG6/AF6-1)*100</f>
        <v>-64.915466177906438</v>
      </c>
      <c r="AI6" s="14">
        <v>376152</v>
      </c>
      <c r="AJ6" s="14">
        <v>307802</v>
      </c>
      <c r="AK6" s="15">
        <f t="shared" ref="AK6:AK7" si="8">(AJ6/AI6-1)*100</f>
        <v>-18.170845828282179</v>
      </c>
      <c r="AL6" s="63">
        <f>AO6-AI6</f>
        <v>80657</v>
      </c>
      <c r="AM6" s="63">
        <f>AP6-AJ6</f>
        <v>144835</v>
      </c>
      <c r="AN6" s="15">
        <f t="shared" ref="AN6:AN7" si="9">(AM6/AL6-1)*100</f>
        <v>79.569039265035883</v>
      </c>
      <c r="AO6" s="14">
        <v>456809</v>
      </c>
      <c r="AP6" s="14">
        <v>452637</v>
      </c>
      <c r="AQ6" s="15">
        <f t="shared" ref="AQ6:AQ7" si="10">(AP6/AO6-1)*100</f>
        <v>-0.91329198855538696</v>
      </c>
      <c r="AR6" s="63">
        <f>AU6-AO6</f>
        <v>65747</v>
      </c>
      <c r="AS6" s="63">
        <f>AV6-AP6</f>
        <v>53340</v>
      </c>
      <c r="AT6" s="15">
        <f t="shared" ref="AT6:AT7" si="11">(AS6/AR6-1)*100</f>
        <v>-18.870823003330951</v>
      </c>
      <c r="AU6" s="14">
        <v>522556</v>
      </c>
      <c r="AV6" s="14">
        <v>505977</v>
      </c>
      <c r="AW6" s="15">
        <f t="shared" ref="AW6:AW7" si="12">(AV6/AU6-1)*100</f>
        <v>-3.1726743162455273</v>
      </c>
      <c r="AX6" s="63">
        <f>BA6-AU6</f>
        <v>67939</v>
      </c>
      <c r="AY6" s="63">
        <f>BB6-AV6</f>
        <v>35217</v>
      </c>
      <c r="AZ6" s="15">
        <f t="shared" ref="AZ6:AZ7" si="13">(AY6/AX6-1)*100</f>
        <v>-48.163793991669003</v>
      </c>
      <c r="BA6" s="14">
        <v>590495</v>
      </c>
      <c r="BB6" s="14">
        <v>541194</v>
      </c>
      <c r="BC6" s="15">
        <f t="shared" ref="BC6:BC7" si="14">(BB6/BA6-1)*100</f>
        <v>-8.3490969440892844</v>
      </c>
      <c r="BD6" s="63">
        <f>BG6-BA6</f>
        <v>20494</v>
      </c>
      <c r="BE6" s="63">
        <f>BH6-BB6</f>
        <v>18763</v>
      </c>
      <c r="BF6" s="15">
        <f t="shared" ref="BF6:BF7" si="15">(BE6/BD6-1)*100</f>
        <v>-8.4463745486483823</v>
      </c>
      <c r="BG6" s="14">
        <v>610989</v>
      </c>
      <c r="BH6" s="14">
        <v>559957</v>
      </c>
      <c r="BI6" s="15">
        <f t="shared" ref="BI6:BI7" si="16">(BH6/BG6-1)*100</f>
        <v>-8.3523598624525182</v>
      </c>
      <c r="BJ6" s="63">
        <f>BM6-BG6</f>
        <v>47084</v>
      </c>
      <c r="BK6" s="63">
        <f>BN6-BH6</f>
        <v>97808</v>
      </c>
      <c r="BL6" s="15">
        <f t="shared" ref="BL6:BL7" si="17">(BK6/BJ6-1)*100</f>
        <v>107.73086398776654</v>
      </c>
      <c r="BM6" s="14">
        <v>658073</v>
      </c>
      <c r="BN6" s="14">
        <v>657765</v>
      </c>
      <c r="BO6" s="15">
        <f t="shared" ref="BO6:BO7" si="18">(BN6/BM6-1)*100</f>
        <v>-4.6803318172905506E-2</v>
      </c>
      <c r="BP6" s="63">
        <f>BS6-BM6</f>
        <v>38063</v>
      </c>
      <c r="BQ6" s="63">
        <f>BT6-BN6</f>
        <v>162417</v>
      </c>
      <c r="BR6" s="15">
        <f t="shared" ref="BR6:BR7" si="19">(BQ6/BP6-1)*100</f>
        <v>326.70572471954398</v>
      </c>
      <c r="BS6" s="14">
        <v>696136</v>
      </c>
      <c r="BT6" s="14">
        <v>820182</v>
      </c>
      <c r="BU6" s="15">
        <f t="shared" ref="BU6:BU7" si="20">(BT6/BS6-1)*100</f>
        <v>17.819219233023432</v>
      </c>
      <c r="BV6" s="63">
        <f>BY6-BS6</f>
        <v>35640</v>
      </c>
      <c r="BW6" s="63">
        <f>BZ6-BT6</f>
        <v>77305</v>
      </c>
      <c r="BX6" s="15">
        <f t="shared" ref="BX6:BX7" si="21">(BW6/BV6-1)*100</f>
        <v>116.90516273849609</v>
      </c>
      <c r="BY6" s="14">
        <v>731776</v>
      </c>
      <c r="BZ6" s="14">
        <v>897487</v>
      </c>
      <c r="CA6" s="15">
        <f t="shared" ref="CA6:CA7" si="22">(BZ6/BY6-1)*100</f>
        <v>22.645044385167033</v>
      </c>
      <c r="CB6" s="108"/>
    </row>
    <row r="7" spans="1:80" s="1" customFormat="1" ht="19.5" customHeight="1">
      <c r="A7" s="190"/>
      <c r="B7" s="125"/>
      <c r="C7" s="82" t="s">
        <v>104</v>
      </c>
      <c r="D7" s="17">
        <v>21254883</v>
      </c>
      <c r="E7" s="17">
        <v>38207606</v>
      </c>
      <c r="F7" s="17">
        <v>49984229</v>
      </c>
      <c r="G7" s="17">
        <v>47127875</v>
      </c>
      <c r="H7" s="17">
        <v>50878720</v>
      </c>
      <c r="I7" s="17">
        <v>48166992</v>
      </c>
      <c r="J7" s="17">
        <v>28894209</v>
      </c>
      <c r="K7" s="17">
        <v>4014622</v>
      </c>
      <c r="L7" s="17">
        <v>1748167</v>
      </c>
      <c r="M7" s="18">
        <f t="shared" si="0"/>
        <v>-56.455003733850909</v>
      </c>
      <c r="N7" s="17">
        <f>Q7-K7</f>
        <v>2328079</v>
      </c>
      <c r="O7" s="17">
        <f>R7-L7</f>
        <v>1589021</v>
      </c>
      <c r="P7" s="18">
        <f t="shared" si="1"/>
        <v>-31.745400392340638</v>
      </c>
      <c r="Q7" s="17">
        <v>6342701</v>
      </c>
      <c r="R7" s="17">
        <v>3337188</v>
      </c>
      <c r="S7" s="18">
        <f t="shared" si="2"/>
        <v>-47.385380455424276</v>
      </c>
      <c r="T7" s="17">
        <f>W7-Q7</f>
        <v>3312176</v>
      </c>
      <c r="U7" s="17">
        <f>X7-R7</f>
        <v>2570164</v>
      </c>
      <c r="V7" s="18">
        <f t="shared" si="3"/>
        <v>-22.402553487495837</v>
      </c>
      <c r="W7" s="17">
        <v>9654877</v>
      </c>
      <c r="X7" s="17">
        <v>5907352</v>
      </c>
      <c r="Y7" s="18">
        <f t="shared" si="4"/>
        <v>-38.814839381174927</v>
      </c>
      <c r="Z7" s="17">
        <f>AC7-W7</f>
        <v>2085540</v>
      </c>
      <c r="AA7" s="17">
        <f>AD7-X7</f>
        <v>2029708</v>
      </c>
      <c r="AB7" s="18">
        <f t="shared" si="5"/>
        <v>-2.6771004152401745</v>
      </c>
      <c r="AC7" s="17">
        <v>11740417</v>
      </c>
      <c r="AD7" s="17">
        <v>7937060</v>
      </c>
      <c r="AE7" s="18">
        <f t="shared" si="6"/>
        <v>-32.395416619358578</v>
      </c>
      <c r="AF7" s="17">
        <f>AI7-AC7</f>
        <v>2103899</v>
      </c>
      <c r="AG7" s="17">
        <f>AJ7-AD7</f>
        <v>1204199</v>
      </c>
      <c r="AH7" s="18">
        <f t="shared" si="7"/>
        <v>-42.763459652768496</v>
      </c>
      <c r="AI7" s="17">
        <v>13844316</v>
      </c>
      <c r="AJ7" s="17">
        <v>9141259</v>
      </c>
      <c r="AK7" s="18">
        <f t="shared" si="8"/>
        <v>-33.971031866074128</v>
      </c>
      <c r="AL7" s="17">
        <f>AO7-AI7</f>
        <v>2968524</v>
      </c>
      <c r="AM7" s="17">
        <f>AP7-AJ7</f>
        <v>2063835</v>
      </c>
      <c r="AN7" s="18">
        <f t="shared" si="9"/>
        <v>-30.476054766611284</v>
      </c>
      <c r="AO7" s="17">
        <v>16812840</v>
      </c>
      <c r="AP7" s="17">
        <v>11205094</v>
      </c>
      <c r="AQ7" s="18">
        <f t="shared" si="10"/>
        <v>-33.353948529814112</v>
      </c>
      <c r="AR7" s="17">
        <f>AU7-AO7</f>
        <v>2088556</v>
      </c>
      <c r="AS7" s="17">
        <f>AV7-AP7</f>
        <v>1379782</v>
      </c>
      <c r="AT7" s="18">
        <f t="shared" si="11"/>
        <v>-33.936078323971209</v>
      </c>
      <c r="AU7" s="17">
        <v>18901396</v>
      </c>
      <c r="AV7" s="17">
        <v>12584876</v>
      </c>
      <c r="AW7" s="18">
        <f t="shared" si="12"/>
        <v>-33.418272385806844</v>
      </c>
      <c r="AX7" s="17">
        <f>BA7-AU7</f>
        <v>2334047</v>
      </c>
      <c r="AY7" s="17">
        <f>BB7-AV7</f>
        <v>1209902</v>
      </c>
      <c r="AZ7" s="18">
        <f t="shared" si="13"/>
        <v>-48.162911886521563</v>
      </c>
      <c r="BA7" s="17">
        <v>21235443</v>
      </c>
      <c r="BB7" s="17">
        <v>13794778</v>
      </c>
      <c r="BC7" s="18">
        <f t="shared" si="14"/>
        <v>-35.038896998758162</v>
      </c>
      <c r="BD7" s="17">
        <f>BG7-BA7</f>
        <v>2189072</v>
      </c>
      <c r="BE7" s="17">
        <f>BH7-BB7</f>
        <v>1234434</v>
      </c>
      <c r="BF7" s="18">
        <f t="shared" si="15"/>
        <v>-43.609255428784429</v>
      </c>
      <c r="BG7" s="17">
        <v>23424515</v>
      </c>
      <c r="BH7" s="17">
        <v>15029212</v>
      </c>
      <c r="BI7" s="18">
        <f t="shared" si="16"/>
        <v>-35.839815680281959</v>
      </c>
      <c r="BJ7" s="17">
        <f>BM7-BG7</f>
        <v>2317394</v>
      </c>
      <c r="BK7" s="17">
        <f>BN7-BH7</f>
        <v>1803086</v>
      </c>
      <c r="BL7" s="18">
        <f t="shared" si="17"/>
        <v>-22.193377561174323</v>
      </c>
      <c r="BM7" s="17">
        <v>25741909</v>
      </c>
      <c r="BN7" s="17">
        <v>16832298</v>
      </c>
      <c r="BO7" s="18">
        <f t="shared" si="18"/>
        <v>-34.611306410880402</v>
      </c>
      <c r="BP7" s="17">
        <f>BS7-BM7</f>
        <v>1369733</v>
      </c>
      <c r="BQ7" s="17">
        <f>BT7-BN7</f>
        <v>2269252</v>
      </c>
      <c r="BR7" s="18">
        <f t="shared" si="19"/>
        <v>65.671119845984578</v>
      </c>
      <c r="BS7" s="17">
        <v>27111642</v>
      </c>
      <c r="BT7" s="17">
        <v>19101550</v>
      </c>
      <c r="BU7" s="18">
        <f t="shared" si="20"/>
        <v>-29.544842765333058</v>
      </c>
      <c r="BV7" s="17">
        <f>BY7-BS7</f>
        <v>1782567</v>
      </c>
      <c r="BW7" s="17">
        <f>BZ7-BT7</f>
        <v>1941369</v>
      </c>
      <c r="BX7" s="18">
        <f t="shared" si="21"/>
        <v>8.9086132526855941</v>
      </c>
      <c r="BY7" s="17">
        <v>28894209</v>
      </c>
      <c r="BZ7" s="17">
        <v>21042919</v>
      </c>
      <c r="CA7" s="18">
        <f t="shared" si="22"/>
        <v>-27.172538275749304</v>
      </c>
      <c r="CB7" s="108"/>
    </row>
    <row r="8" spans="1:80" s="1" customFormat="1" ht="19.5" customHeight="1">
      <c r="A8" s="191"/>
      <c r="B8" s="126"/>
      <c r="C8" s="83" t="s">
        <v>105</v>
      </c>
      <c r="D8" s="64">
        <f t="shared" ref="D8:L8" si="23">D7/D6</f>
        <v>26.354833109937022</v>
      </c>
      <c r="E8" s="64">
        <f t="shared" si="23"/>
        <v>26.988776458039748</v>
      </c>
      <c r="F8" s="64">
        <f t="shared" si="23"/>
        <v>43.115089781001117</v>
      </c>
      <c r="G8" s="64">
        <f t="shared" si="23"/>
        <v>34.341878504570744</v>
      </c>
      <c r="H8" s="64">
        <f>H7/H6</f>
        <v>34.036982700776754</v>
      </c>
      <c r="I8" s="64">
        <f>I7/I6</f>
        <v>30.032236322383177</v>
      </c>
      <c r="J8" s="64">
        <f>J7/J6</f>
        <v>39.485045970351585</v>
      </c>
      <c r="K8" s="64">
        <f t="shared" si="23"/>
        <v>31.578623624450369</v>
      </c>
      <c r="L8" s="64">
        <f t="shared" si="23"/>
        <v>26.473740800193841</v>
      </c>
      <c r="M8" s="65"/>
      <c r="N8" s="64">
        <f>N7/N6</f>
        <v>40.551802821808046</v>
      </c>
      <c r="O8" s="64">
        <f>O7/O6</f>
        <v>20.494241310375958</v>
      </c>
      <c r="P8" s="65"/>
      <c r="Q8" s="64">
        <f>Q7/Q6</f>
        <v>34.370145387745815</v>
      </c>
      <c r="R8" s="64">
        <f>R7/R6</f>
        <v>23.244488712744396</v>
      </c>
      <c r="S8" s="65"/>
      <c r="T8" s="64">
        <f>T7/T6</f>
        <v>56.988575361321402</v>
      </c>
      <c r="U8" s="64">
        <f>U7/U6</f>
        <v>37.867252073725929</v>
      </c>
      <c r="V8" s="65"/>
      <c r="W8" s="64">
        <f>W7/W6</f>
        <v>39.787510147901806</v>
      </c>
      <c r="X8" s="64">
        <f>X7/X6</f>
        <v>27.938403912183954</v>
      </c>
      <c r="Y8" s="65"/>
      <c r="Z8" s="64">
        <f>Z7/Z6</f>
        <v>27.765736500159761</v>
      </c>
      <c r="AA8" s="64">
        <f>AA7/AA6</f>
        <v>26.749624397058437</v>
      </c>
      <c r="AB8" s="65"/>
      <c r="AC8" s="64">
        <f>AC7/AC6</f>
        <v>36.945923662488632</v>
      </c>
      <c r="AD8" s="64">
        <f>AD7/AD6</f>
        <v>27.62446053181122</v>
      </c>
      <c r="AE8" s="65"/>
      <c r="AF8" s="64">
        <f>AF7/AF6</f>
        <v>36.038626903509822</v>
      </c>
      <c r="AG8" s="64">
        <f>AG7/AG6</f>
        <v>58.793037789278394</v>
      </c>
      <c r="AH8" s="65"/>
      <c r="AI8" s="64">
        <f>AI7/AI6</f>
        <v>36.805110699929813</v>
      </c>
      <c r="AJ8" s="64">
        <f>AJ7/AJ6</f>
        <v>29.69850423324085</v>
      </c>
      <c r="AK8" s="65"/>
      <c r="AL8" s="64">
        <f>AL7/AL6</f>
        <v>36.804294729533702</v>
      </c>
      <c r="AM8" s="64">
        <f>AM7/AM6</f>
        <v>14.249559843960368</v>
      </c>
      <c r="AN8" s="65"/>
      <c r="AO8" s="64">
        <f>AO7/AO6</f>
        <v>36.80496662718992</v>
      </c>
      <c r="AP8" s="64">
        <f>AP7/AP6</f>
        <v>24.755143746534198</v>
      </c>
      <c r="AQ8" s="65"/>
      <c r="AR8" s="64">
        <f>AR7/AR6</f>
        <v>31.766559690936468</v>
      </c>
      <c r="AS8" s="64">
        <f>AS7/AS6</f>
        <v>25.867679040119985</v>
      </c>
      <c r="AT8" s="65"/>
      <c r="AU8" s="64">
        <f>AU7/AU6</f>
        <v>36.171043868982466</v>
      </c>
      <c r="AV8" s="64">
        <f>AV7/AV6</f>
        <v>24.872427007551728</v>
      </c>
      <c r="AW8" s="65"/>
      <c r="AX8" s="64">
        <f>AX7/AX6</f>
        <v>34.355039079173963</v>
      </c>
      <c r="AY8" s="64">
        <f>AY7/AY6</f>
        <v>34.355623704460911</v>
      </c>
      <c r="AZ8" s="65"/>
      <c r="BA8" s="64">
        <f>BA7/BA6</f>
        <v>35.962104674891407</v>
      </c>
      <c r="BB8" s="64">
        <f>BB7/BB6</f>
        <v>25.48952501321153</v>
      </c>
      <c r="BC8" s="65"/>
      <c r="BD8" s="64">
        <f>BD7/BD6</f>
        <v>106.815263003806</v>
      </c>
      <c r="BE8" s="64">
        <f>BE7/BE6</f>
        <v>65.790865000266479</v>
      </c>
      <c r="BF8" s="65"/>
      <c r="BG8" s="64">
        <f>BG7/BG6</f>
        <v>38.338685311846859</v>
      </c>
      <c r="BH8" s="64">
        <f>BH7/BH6</f>
        <v>26.839939495354109</v>
      </c>
      <c r="BI8" s="65"/>
      <c r="BJ8" s="64">
        <f>BJ7/BJ6</f>
        <v>49.218290714467763</v>
      </c>
      <c r="BK8" s="64">
        <f>BK7/BK6</f>
        <v>18.434954195975788</v>
      </c>
      <c r="BL8" s="65"/>
      <c r="BM8" s="64">
        <f>BM7/BM6</f>
        <v>39.117102509903916</v>
      </c>
      <c r="BN8" s="64">
        <f>BN7/BN6</f>
        <v>25.590139335476955</v>
      </c>
      <c r="BO8" s="65"/>
      <c r="BP8" s="64">
        <f>BP7/BP6</f>
        <v>35.985944355410766</v>
      </c>
      <c r="BQ8" s="64">
        <f>BQ7/BQ6</f>
        <v>13.971764039478627</v>
      </c>
      <c r="BR8" s="65"/>
      <c r="BS8" s="64">
        <f>BS7/BS6</f>
        <v>38.945898502591447</v>
      </c>
      <c r="BT8" s="64">
        <f>BT7/BT6</f>
        <v>23.289404059099077</v>
      </c>
      <c r="BU8" s="65"/>
      <c r="BV8" s="64">
        <f>BV7/BV6</f>
        <v>50.015909090909091</v>
      </c>
      <c r="BW8" s="64">
        <f>BW7/BW6</f>
        <v>25.113110406830089</v>
      </c>
      <c r="BX8" s="65"/>
      <c r="BY8" s="64">
        <f>BY7/BY6</f>
        <v>39.485045970351585</v>
      </c>
      <c r="BZ8" s="64">
        <f>BZ7/BZ6</f>
        <v>23.446488918502439</v>
      </c>
      <c r="CA8" s="65"/>
      <c r="CB8" s="108"/>
    </row>
    <row r="9" spans="1:80" s="1" customFormat="1" ht="19.5" customHeight="1">
      <c r="A9" s="178" t="s">
        <v>136</v>
      </c>
      <c r="B9" s="133">
        <v>8102</v>
      </c>
      <c r="C9" s="81" t="s">
        <v>42</v>
      </c>
      <c r="D9" s="66">
        <v>591443</v>
      </c>
      <c r="E9" s="66">
        <v>1313694</v>
      </c>
      <c r="F9" s="66">
        <v>779783</v>
      </c>
      <c r="G9" s="66">
        <v>708171</v>
      </c>
      <c r="H9" s="66">
        <v>713565</v>
      </c>
      <c r="I9" s="66">
        <v>791696</v>
      </c>
      <c r="J9" s="66">
        <v>636147</v>
      </c>
      <c r="K9" s="66">
        <v>57338</v>
      </c>
      <c r="L9" s="66">
        <v>42845</v>
      </c>
      <c r="M9" s="15">
        <f t="shared" si="0"/>
        <v>-25.276430988175381</v>
      </c>
      <c r="N9" s="63">
        <f>Q9-K9</f>
        <v>49960</v>
      </c>
      <c r="O9" s="63">
        <f>R9-L9</f>
        <v>33811</v>
      </c>
      <c r="P9" s="15">
        <f t="shared" si="1"/>
        <v>-32.32385908726981</v>
      </c>
      <c r="Q9" s="66">
        <v>107298</v>
      </c>
      <c r="R9" s="66">
        <v>76656</v>
      </c>
      <c r="S9" s="15">
        <f t="shared" si="2"/>
        <v>-28.557848235754623</v>
      </c>
      <c r="T9" s="63">
        <f>W9-Q9</f>
        <v>43304</v>
      </c>
      <c r="U9" s="63">
        <f>X9-R9</f>
        <v>40938</v>
      </c>
      <c r="V9" s="15">
        <f t="shared" ref="V9:V10" si="24">(U9/T9-1)*100</f>
        <v>-5.4636985036024432</v>
      </c>
      <c r="W9" s="66">
        <v>150602</v>
      </c>
      <c r="X9" s="66">
        <v>117594</v>
      </c>
      <c r="Y9" s="15">
        <f t="shared" ref="Y9:Y10" si="25">(X9/W9-1)*100</f>
        <v>-21.91737161525079</v>
      </c>
      <c r="Z9" s="63">
        <f>AC9-W9</f>
        <v>35454</v>
      </c>
      <c r="AA9" s="63">
        <f>AD9-X9</f>
        <v>65473</v>
      </c>
      <c r="AB9" s="15">
        <f t="shared" ref="AB9:AB10" si="26">(AA9/Z9-1)*100</f>
        <v>84.67027697862018</v>
      </c>
      <c r="AC9" s="66">
        <v>186056</v>
      </c>
      <c r="AD9" s="66">
        <v>183067</v>
      </c>
      <c r="AE9" s="15">
        <f t="shared" ref="AE9:AE10" si="27">(AD9/AC9-1)*100</f>
        <v>-1.6065055682160212</v>
      </c>
      <c r="AF9" s="63">
        <f>AI9-AC9</f>
        <v>42504</v>
      </c>
      <c r="AG9" s="63">
        <f>AJ9-AD9</f>
        <v>46936</v>
      </c>
      <c r="AH9" s="15">
        <f t="shared" ref="AH9:AH10" si="28">(AG9/AF9-1)*100</f>
        <v>10.427253905514778</v>
      </c>
      <c r="AI9" s="66">
        <v>228560</v>
      </c>
      <c r="AJ9" s="66">
        <v>230003</v>
      </c>
      <c r="AK9" s="15">
        <f t="shared" ref="AK9:AK10" si="29">(AJ9/AI9-1)*100</f>
        <v>0.63134406720335434</v>
      </c>
      <c r="AL9" s="63">
        <f>AO9-AI9</f>
        <v>75833</v>
      </c>
      <c r="AM9" s="63">
        <f>AP9-AJ9</f>
        <v>30598</v>
      </c>
      <c r="AN9" s="15">
        <f t="shared" ref="AN9:AN10" si="30">(AM9/AL9-1)*100</f>
        <v>-59.650811651919341</v>
      </c>
      <c r="AO9" s="66">
        <v>304393</v>
      </c>
      <c r="AP9" s="66">
        <v>260601</v>
      </c>
      <c r="AQ9" s="15">
        <f t="shared" ref="AQ9:AQ10" si="31">(AP9/AO9-1)*100</f>
        <v>-14.386664607924626</v>
      </c>
      <c r="AR9" s="63">
        <f>AU9-AO9</f>
        <v>72594</v>
      </c>
      <c r="AS9" s="63">
        <f>AV9-AP9</f>
        <v>22607</v>
      </c>
      <c r="AT9" s="15">
        <f t="shared" ref="AT9:AT10" si="32">(AS9/AR9-1)*100</f>
        <v>-68.858307849133539</v>
      </c>
      <c r="AU9" s="66">
        <v>376987</v>
      </c>
      <c r="AV9" s="66">
        <v>283208</v>
      </c>
      <c r="AW9" s="15">
        <f t="shared" ref="AW9:AW10" si="33">(AV9/AU9-1)*100</f>
        <v>-24.875924103483669</v>
      </c>
      <c r="AX9" s="63">
        <f>BA9-AU9</f>
        <v>47947</v>
      </c>
      <c r="AY9" s="63">
        <f>BB9-AV9</f>
        <v>34466</v>
      </c>
      <c r="AZ9" s="15">
        <f t="shared" ref="AZ9:AZ10" si="34">(AY9/AX9-1)*100</f>
        <v>-28.116461926710745</v>
      </c>
      <c r="BA9" s="66">
        <v>424934</v>
      </c>
      <c r="BB9" s="66">
        <v>317674</v>
      </c>
      <c r="BC9" s="15">
        <f t="shared" ref="BC9:BC10" si="35">(BB9/BA9-1)*100</f>
        <v>-25.241566925687287</v>
      </c>
      <c r="BD9" s="63">
        <f>BG9-BA9</f>
        <v>72701</v>
      </c>
      <c r="BE9" s="63">
        <f>BH9-BB9</f>
        <v>49608</v>
      </c>
      <c r="BF9" s="15">
        <f t="shared" ref="BF9:BF10" si="36">(BE9/BD9-1)*100</f>
        <v>-31.76434987139104</v>
      </c>
      <c r="BG9" s="66">
        <v>497635</v>
      </c>
      <c r="BH9" s="66">
        <v>367282</v>
      </c>
      <c r="BI9" s="15">
        <f t="shared" ref="BI9:BI10" si="37">(BH9/BG9-1)*100</f>
        <v>-26.194499984928711</v>
      </c>
      <c r="BJ9" s="63">
        <f>BM9-BG9</f>
        <v>34250</v>
      </c>
      <c r="BK9" s="63">
        <f>BN9-BH9</f>
        <v>15197</v>
      </c>
      <c r="BL9" s="15">
        <f t="shared" ref="BL9:BL10" si="38">(BK9/BJ9-1)*100</f>
        <v>-55.629197080291974</v>
      </c>
      <c r="BM9" s="66">
        <v>531885</v>
      </c>
      <c r="BN9" s="66">
        <v>382479</v>
      </c>
      <c r="BO9" s="15">
        <f t="shared" ref="BO9:BO10" si="39">(BN9/BM9-1)*100</f>
        <v>-28.089906652753882</v>
      </c>
      <c r="BP9" s="63">
        <f>BS9-BM9</f>
        <v>59234</v>
      </c>
      <c r="BQ9" s="63">
        <f>BT9-BN9</f>
        <v>53209</v>
      </c>
      <c r="BR9" s="15">
        <f t="shared" ref="BR9:BR10" si="40">(BQ9/BP9-1)*100</f>
        <v>-10.171523111726376</v>
      </c>
      <c r="BS9" s="66">
        <v>591119</v>
      </c>
      <c r="BT9" s="66">
        <v>435688</v>
      </c>
      <c r="BU9" s="15">
        <f t="shared" ref="BU9:BU10" si="41">(BT9/BS9-1)*100</f>
        <v>-26.294367124047781</v>
      </c>
      <c r="BV9" s="63">
        <f>BY9-BS9</f>
        <v>45028</v>
      </c>
      <c r="BW9" s="63">
        <f>BZ9-BT9</f>
        <v>74538</v>
      </c>
      <c r="BX9" s="15">
        <f t="shared" ref="BX9:BX10" si="42">(BW9/BV9-1)*100</f>
        <v>65.536999200497476</v>
      </c>
      <c r="BY9" s="66">
        <v>636147</v>
      </c>
      <c r="BZ9" s="66">
        <v>510226</v>
      </c>
      <c r="CA9" s="15">
        <f t="shared" ref="CA9:CA10" si="43">(BZ9/BY9-1)*100</f>
        <v>-19.794324267818595</v>
      </c>
      <c r="CB9" s="108"/>
    </row>
    <row r="10" spans="1:80" s="1" customFormat="1" ht="19.5" customHeight="1">
      <c r="A10" s="190"/>
      <c r="B10" s="120"/>
      <c r="C10" s="82" t="s">
        <v>104</v>
      </c>
      <c r="D10" s="17">
        <v>19330384</v>
      </c>
      <c r="E10" s="17">
        <v>34431418</v>
      </c>
      <c r="F10" s="17">
        <v>36130456</v>
      </c>
      <c r="G10" s="17">
        <v>34248734</v>
      </c>
      <c r="H10" s="17">
        <v>34660382</v>
      </c>
      <c r="I10" s="17">
        <v>37862337</v>
      </c>
      <c r="J10" s="17">
        <v>29884430</v>
      </c>
      <c r="K10" s="17">
        <v>2914996</v>
      </c>
      <c r="L10" s="17">
        <v>1555898</v>
      </c>
      <c r="M10" s="18">
        <f t="shared" si="0"/>
        <v>-46.624352143193335</v>
      </c>
      <c r="N10" s="17">
        <f>Q10-K10</f>
        <v>3524177</v>
      </c>
      <c r="O10" s="17">
        <f>R10-L10</f>
        <v>1530570</v>
      </c>
      <c r="P10" s="18">
        <f t="shared" si="1"/>
        <v>-56.569434509106664</v>
      </c>
      <c r="Q10" s="17">
        <v>6439173</v>
      </c>
      <c r="R10" s="17">
        <v>3086468</v>
      </c>
      <c r="S10" s="18">
        <f t="shared" si="2"/>
        <v>-52.067322931065839</v>
      </c>
      <c r="T10" s="17">
        <f>W10-Q10</f>
        <v>2607318</v>
      </c>
      <c r="U10" s="17">
        <f>X10-R10</f>
        <v>2310297</v>
      </c>
      <c r="V10" s="18">
        <f t="shared" si="24"/>
        <v>-11.391821020681025</v>
      </c>
      <c r="W10" s="17">
        <v>9046491</v>
      </c>
      <c r="X10" s="17">
        <v>5396765</v>
      </c>
      <c r="Y10" s="18">
        <f t="shared" si="25"/>
        <v>-40.344106902886438</v>
      </c>
      <c r="Z10" s="17">
        <f>AC10-W10</f>
        <v>2268822</v>
      </c>
      <c r="AA10" s="17">
        <f>AD10-X10</f>
        <v>2154802</v>
      </c>
      <c r="AB10" s="18">
        <f t="shared" si="26"/>
        <v>-5.0255154436972145</v>
      </c>
      <c r="AC10" s="17">
        <v>11315313</v>
      </c>
      <c r="AD10" s="17">
        <v>7551567</v>
      </c>
      <c r="AE10" s="18">
        <f t="shared" si="27"/>
        <v>-33.262411742388387</v>
      </c>
      <c r="AF10" s="17">
        <f>AI10-AC10</f>
        <v>2923166</v>
      </c>
      <c r="AG10" s="17">
        <f>AJ10-AD10</f>
        <v>1779301</v>
      </c>
      <c r="AH10" s="18">
        <f t="shared" si="28"/>
        <v>-39.13103121752237</v>
      </c>
      <c r="AI10" s="17">
        <v>14238479</v>
      </c>
      <c r="AJ10" s="17">
        <v>9330868</v>
      </c>
      <c r="AK10" s="18">
        <f t="shared" si="29"/>
        <v>-34.467241901329494</v>
      </c>
      <c r="AL10" s="17">
        <f>AO10-AI10</f>
        <v>3063759</v>
      </c>
      <c r="AM10" s="17">
        <f>AP10-AJ10</f>
        <v>2063910</v>
      </c>
      <c r="AN10" s="18">
        <f t="shared" si="30"/>
        <v>-32.634714414547616</v>
      </c>
      <c r="AO10" s="17">
        <v>17302238</v>
      </c>
      <c r="AP10" s="17">
        <v>11394778</v>
      </c>
      <c r="AQ10" s="18">
        <f t="shared" si="31"/>
        <v>-34.142750781719677</v>
      </c>
      <c r="AR10" s="17">
        <f>AU10-AO10</f>
        <v>2334775</v>
      </c>
      <c r="AS10" s="17">
        <f>AV10-AP10</f>
        <v>2043906</v>
      </c>
      <c r="AT10" s="18">
        <f t="shared" si="32"/>
        <v>-12.458116949170694</v>
      </c>
      <c r="AU10" s="17">
        <v>19637013</v>
      </c>
      <c r="AV10" s="17">
        <v>13438684</v>
      </c>
      <c r="AW10" s="18">
        <f t="shared" si="33"/>
        <v>-31.564520530693752</v>
      </c>
      <c r="AX10" s="17">
        <f>BA10-AU10</f>
        <v>2199884</v>
      </c>
      <c r="AY10" s="17">
        <f>BB10-AV10</f>
        <v>1879605</v>
      </c>
      <c r="AZ10" s="18">
        <f t="shared" si="34"/>
        <v>-14.558904014938967</v>
      </c>
      <c r="BA10" s="17">
        <v>21836897</v>
      </c>
      <c r="BB10" s="17">
        <v>15318289</v>
      </c>
      <c r="BC10" s="18">
        <f t="shared" si="35"/>
        <v>-29.851347469377178</v>
      </c>
      <c r="BD10" s="17">
        <f>BG10-BA10</f>
        <v>1953933</v>
      </c>
      <c r="BE10" s="17">
        <f>BH10-BB10</f>
        <v>1562006</v>
      </c>
      <c r="BF10" s="18">
        <f t="shared" si="36"/>
        <v>-20.058364334908106</v>
      </c>
      <c r="BG10" s="17">
        <v>23790830</v>
      </c>
      <c r="BH10" s="17">
        <v>16880295</v>
      </c>
      <c r="BI10" s="18">
        <f t="shared" si="37"/>
        <v>-29.047053003194932</v>
      </c>
      <c r="BJ10" s="17">
        <f>BM10-BG10</f>
        <v>1435062</v>
      </c>
      <c r="BK10" s="17">
        <f>BN10-BH10</f>
        <v>1138394</v>
      </c>
      <c r="BL10" s="18">
        <f t="shared" si="38"/>
        <v>-20.672835041273473</v>
      </c>
      <c r="BM10" s="17">
        <v>25225892</v>
      </c>
      <c r="BN10" s="17">
        <v>18018689</v>
      </c>
      <c r="BO10" s="18">
        <f t="shared" si="39"/>
        <v>-28.570656688770413</v>
      </c>
      <c r="BP10" s="17">
        <f>BS10-BM10</f>
        <v>2111037</v>
      </c>
      <c r="BQ10" s="17">
        <f>BT10-BN10</f>
        <v>3107216</v>
      </c>
      <c r="BR10" s="18">
        <f t="shared" si="40"/>
        <v>47.189082900962887</v>
      </c>
      <c r="BS10" s="17">
        <v>27336929</v>
      </c>
      <c r="BT10" s="17">
        <v>21125905</v>
      </c>
      <c r="BU10" s="18">
        <f t="shared" si="41"/>
        <v>-22.720269712812289</v>
      </c>
      <c r="BV10" s="17">
        <f>BY10-BS10</f>
        <v>2547501</v>
      </c>
      <c r="BW10" s="17">
        <f>BZ10-BT10</f>
        <v>3144151</v>
      </c>
      <c r="BX10" s="18">
        <f t="shared" si="42"/>
        <v>23.420991787638169</v>
      </c>
      <c r="BY10" s="17">
        <v>29884430</v>
      </c>
      <c r="BZ10" s="17">
        <v>24270056</v>
      </c>
      <c r="CA10" s="18">
        <f t="shared" si="43"/>
        <v>-18.7869536076144</v>
      </c>
      <c r="CB10" s="108"/>
    </row>
    <row r="11" spans="1:80" s="1" customFormat="1" ht="19.5" customHeight="1">
      <c r="A11" s="191"/>
      <c r="B11" s="121"/>
      <c r="C11" s="83" t="s">
        <v>105</v>
      </c>
      <c r="D11" s="64">
        <f t="shared" ref="D11:L11" si="44">D10/D9</f>
        <v>32.683426805288086</v>
      </c>
      <c r="E11" s="64">
        <f t="shared" si="44"/>
        <v>26.20961806935253</v>
      </c>
      <c r="F11" s="64">
        <f t="shared" si="44"/>
        <v>46.333987788910505</v>
      </c>
      <c r="G11" s="64">
        <f t="shared" si="44"/>
        <v>48.362237369222967</v>
      </c>
      <c r="H11" s="64">
        <f>H10/H9</f>
        <v>48.573545507416981</v>
      </c>
      <c r="I11" s="64">
        <f>I10/I9</f>
        <v>47.824337877164972</v>
      </c>
      <c r="J11" s="64">
        <f>J10/J9</f>
        <v>46.977239537402518</v>
      </c>
      <c r="K11" s="64">
        <f t="shared" si="44"/>
        <v>50.838815445254454</v>
      </c>
      <c r="L11" s="64">
        <f t="shared" si="44"/>
        <v>36.314575796475665</v>
      </c>
      <c r="M11" s="65"/>
      <c r="N11" s="64">
        <f>N10/N9</f>
        <v>70.53997197758207</v>
      </c>
      <c r="O11" s="64">
        <f>O10/O9</f>
        <v>45.268403773919729</v>
      </c>
      <c r="P11" s="65"/>
      <c r="Q11" s="64">
        <f>Q10/Q9</f>
        <v>60.012050550802435</v>
      </c>
      <c r="R11" s="64">
        <f>R10/R9</f>
        <v>40.263880192026718</v>
      </c>
      <c r="S11" s="65"/>
      <c r="T11" s="64">
        <f>T10/T9</f>
        <v>60.209634213929426</v>
      </c>
      <c r="U11" s="64">
        <f>U10/U9</f>
        <v>56.434046607064339</v>
      </c>
      <c r="V11" s="65"/>
      <c r="W11" s="64">
        <f>W10/W9</f>
        <v>60.068863627309064</v>
      </c>
      <c r="X11" s="64">
        <f>X10/X9</f>
        <v>45.893200333350343</v>
      </c>
      <c r="Y11" s="65"/>
      <c r="Z11" s="64">
        <f>Z10/Z9</f>
        <v>63.993399898459977</v>
      </c>
      <c r="AA11" s="64">
        <f>AA10/AA9</f>
        <v>32.911306950956885</v>
      </c>
      <c r="AB11" s="65"/>
      <c r="AC11" s="64">
        <f>AC10/AC9</f>
        <v>60.816705723008127</v>
      </c>
      <c r="AD11" s="64">
        <f>AD10/AD9</f>
        <v>41.250290877110565</v>
      </c>
      <c r="AE11" s="65"/>
      <c r="AF11" s="64">
        <f>AF10/AF9</f>
        <v>68.773903632599286</v>
      </c>
      <c r="AG11" s="64">
        <f>AG10/AG9</f>
        <v>37.909088972217489</v>
      </c>
      <c r="AH11" s="65"/>
      <c r="AI11" s="64">
        <f>AI10/AI9</f>
        <v>62.296460448022401</v>
      </c>
      <c r="AJ11" s="64">
        <f>AJ10/AJ9</f>
        <v>40.568462150493687</v>
      </c>
      <c r="AK11" s="65"/>
      <c r="AL11" s="64">
        <f>AL10/AL9</f>
        <v>40.401395170967781</v>
      </c>
      <c r="AM11" s="64">
        <f>AM10/AM9</f>
        <v>67.452447872409962</v>
      </c>
      <c r="AN11" s="65"/>
      <c r="AO11" s="64">
        <f>AO10/AO9</f>
        <v>56.841773628171474</v>
      </c>
      <c r="AP11" s="64">
        <f>AP10/AP9</f>
        <v>43.724997217969232</v>
      </c>
      <c r="AQ11" s="65"/>
      <c r="AR11" s="64">
        <f>AR10/AR9</f>
        <v>32.162093285946497</v>
      </c>
      <c r="AS11" s="64">
        <f>AS10/AS9</f>
        <v>90.4103153890388</v>
      </c>
      <c r="AT11" s="65"/>
      <c r="AU11" s="64">
        <f>AU10/AU9</f>
        <v>52.089363824216747</v>
      </c>
      <c r="AV11" s="64">
        <f>AV10/AV9</f>
        <v>47.451639784186888</v>
      </c>
      <c r="AW11" s="65"/>
      <c r="AX11" s="64">
        <f>AX10/AX9</f>
        <v>45.881577575239326</v>
      </c>
      <c r="AY11" s="64">
        <f>AY10/AY9</f>
        <v>54.53504903383044</v>
      </c>
      <c r="AZ11" s="65"/>
      <c r="BA11" s="64">
        <f>BA10/BA9</f>
        <v>51.38891451378332</v>
      </c>
      <c r="BB11" s="64">
        <f>BB10/BB9</f>
        <v>48.220153364770177</v>
      </c>
      <c r="BC11" s="65"/>
      <c r="BD11" s="64">
        <f>BD10/BD9</f>
        <v>26.876287808970989</v>
      </c>
      <c r="BE11" s="64">
        <f>BE10/BE9</f>
        <v>31.486977906789228</v>
      </c>
      <c r="BF11" s="65"/>
      <c r="BG11" s="64">
        <f>BG10/BG9</f>
        <v>47.807790850723926</v>
      </c>
      <c r="BH11" s="64">
        <f>BH10/BH9</f>
        <v>45.96003888020649</v>
      </c>
      <c r="BI11" s="65"/>
      <c r="BJ11" s="64">
        <f>BJ10/BJ9</f>
        <v>41.899620437956202</v>
      </c>
      <c r="BK11" s="64">
        <f>BK10/BK9</f>
        <v>74.909126801342367</v>
      </c>
      <c r="BL11" s="65"/>
      <c r="BM11" s="64">
        <f>BM10/BM9</f>
        <v>47.427342376641569</v>
      </c>
      <c r="BN11" s="64">
        <f>BN10/BN9</f>
        <v>47.110270106332635</v>
      </c>
      <c r="BO11" s="65"/>
      <c r="BP11" s="64">
        <f>BP10/BP9</f>
        <v>35.638940473376778</v>
      </c>
      <c r="BQ11" s="64">
        <f>BQ10/BQ9</f>
        <v>58.396436693040648</v>
      </c>
      <c r="BR11" s="65"/>
      <c r="BS11" s="64">
        <f>BS10/BS9</f>
        <v>46.246067204742189</v>
      </c>
      <c r="BT11" s="64">
        <f>BT10/BT9</f>
        <v>48.488608820991168</v>
      </c>
      <c r="BU11" s="65"/>
      <c r="BV11" s="64">
        <f>BV10/BV9</f>
        <v>56.575930532113354</v>
      </c>
      <c r="BW11" s="64">
        <f>BW10/BW9</f>
        <v>42.181853551208782</v>
      </c>
      <c r="BX11" s="65"/>
      <c r="BY11" s="64">
        <f>BY10/BY9</f>
        <v>46.977239537402518</v>
      </c>
      <c r="BZ11" s="64">
        <f>BZ10/BZ9</f>
        <v>47.567266270241028</v>
      </c>
      <c r="CA11" s="65"/>
      <c r="CB11" s="108"/>
    </row>
    <row r="12" spans="1:80" s="1" customFormat="1" ht="19.5" customHeight="1">
      <c r="A12" s="178" t="s">
        <v>137</v>
      </c>
      <c r="B12" s="114">
        <v>8103</v>
      </c>
      <c r="C12" s="81" t="s">
        <v>42</v>
      </c>
      <c r="D12" s="66">
        <v>14641</v>
      </c>
      <c r="E12" s="66">
        <v>23453</v>
      </c>
      <c r="F12" s="66">
        <v>152266</v>
      </c>
      <c r="G12" s="66">
        <v>114930</v>
      </c>
      <c r="H12" s="66">
        <v>163991</v>
      </c>
      <c r="I12" s="66">
        <v>115129</v>
      </c>
      <c r="J12" s="66">
        <v>228843</v>
      </c>
      <c r="K12" s="66">
        <v>8241</v>
      </c>
      <c r="L12" s="66">
        <v>4295</v>
      </c>
      <c r="M12" s="15">
        <f t="shared" si="0"/>
        <v>-47.882538526877802</v>
      </c>
      <c r="N12" s="63">
        <f>Q12-K12</f>
        <v>5051</v>
      </c>
      <c r="O12" s="63">
        <f>R12-L12</f>
        <v>3457</v>
      </c>
      <c r="P12" s="15">
        <f t="shared" si="1"/>
        <v>-31.558107305484061</v>
      </c>
      <c r="Q12" s="66">
        <v>13292</v>
      </c>
      <c r="R12" s="66">
        <v>7752</v>
      </c>
      <c r="S12" s="15">
        <f t="shared" si="2"/>
        <v>-41.67920553716521</v>
      </c>
      <c r="T12" s="63">
        <f>W12-Q12</f>
        <v>6518</v>
      </c>
      <c r="U12" s="63">
        <f>X12-R12</f>
        <v>4684</v>
      </c>
      <c r="V12" s="15">
        <f t="shared" ref="V12:V13" si="45">(U12/T12-1)*100</f>
        <v>-28.137465480208657</v>
      </c>
      <c r="W12" s="66">
        <v>19810</v>
      </c>
      <c r="X12" s="66">
        <v>12436</v>
      </c>
      <c r="Y12" s="15">
        <f t="shared" ref="Y12:Y13" si="46">(X12/W12-1)*100</f>
        <v>-37.223624432104998</v>
      </c>
      <c r="Z12" s="63">
        <f>AC12-W12</f>
        <v>27890</v>
      </c>
      <c r="AA12" s="63">
        <f>AD12-X12</f>
        <v>1061</v>
      </c>
      <c r="AB12" s="15">
        <f t="shared" ref="AB12:AB13" si="47">(AA12/Z12-1)*100</f>
        <v>-96.195769092864822</v>
      </c>
      <c r="AC12" s="66">
        <v>47700</v>
      </c>
      <c r="AD12" s="66">
        <v>13497</v>
      </c>
      <c r="AE12" s="15">
        <f t="shared" ref="AE12:AE13" si="48">(AD12/AC12-1)*100</f>
        <v>-71.704402515723274</v>
      </c>
      <c r="AF12" s="63">
        <f>AI12-AC12</f>
        <v>7734</v>
      </c>
      <c r="AG12" s="63">
        <f>AJ12-AD12</f>
        <v>12825</v>
      </c>
      <c r="AH12" s="15">
        <f t="shared" ref="AH12:AH13" si="49">(AG12/AF12-1)*100</f>
        <v>65.826221877424345</v>
      </c>
      <c r="AI12" s="66">
        <v>55434</v>
      </c>
      <c r="AJ12" s="66">
        <v>26322</v>
      </c>
      <c r="AK12" s="15">
        <f t="shared" ref="AK12:AK13" si="50">(AJ12/AI12-1)*100</f>
        <v>-52.516506115380459</v>
      </c>
      <c r="AL12" s="63">
        <f>AO12-AI12</f>
        <v>5891</v>
      </c>
      <c r="AM12" s="63">
        <f>AP12-AJ12</f>
        <v>4186</v>
      </c>
      <c r="AN12" s="15">
        <f t="shared" ref="AN12:AN13" si="51">(AM12/AL12-1)*100</f>
        <v>-28.942454591750121</v>
      </c>
      <c r="AO12" s="66">
        <v>61325</v>
      </c>
      <c r="AP12" s="66">
        <v>30508</v>
      </c>
      <c r="AQ12" s="15">
        <f t="shared" ref="AQ12:AQ13" si="52">(AP12/AO12-1)*100</f>
        <v>-50.251936404402777</v>
      </c>
      <c r="AR12" s="63">
        <f>AU12-AO12</f>
        <v>5512</v>
      </c>
      <c r="AS12" s="63">
        <f>AV12-AP12</f>
        <v>2419</v>
      </c>
      <c r="AT12" s="15">
        <f t="shared" ref="AT12:AT13" si="53">(AS12/AR12-1)*100</f>
        <v>-56.113933236574745</v>
      </c>
      <c r="AU12" s="66">
        <v>66837</v>
      </c>
      <c r="AV12" s="66">
        <v>32927</v>
      </c>
      <c r="AW12" s="15">
        <f t="shared" ref="AW12:AW13" si="54">(AV12/AU12-1)*100</f>
        <v>-50.735371126771099</v>
      </c>
      <c r="AX12" s="63">
        <f>BA12-AU12</f>
        <v>15899</v>
      </c>
      <c r="AY12" s="63">
        <f>BB12-AV12</f>
        <v>1832</v>
      </c>
      <c r="AZ12" s="15">
        <f t="shared" ref="AZ12:AZ13" si="55">(AY12/AX12-1)*100</f>
        <v>-88.477262720925836</v>
      </c>
      <c r="BA12" s="66">
        <v>82736</v>
      </c>
      <c r="BB12" s="66">
        <v>34759</v>
      </c>
      <c r="BC12" s="15">
        <f t="shared" ref="BC12:BC13" si="56">(BB12/BA12-1)*100</f>
        <v>-57.98805840263006</v>
      </c>
      <c r="BD12" s="63">
        <f>BG12-BA12</f>
        <v>116727</v>
      </c>
      <c r="BE12" s="63">
        <f>BH12-BB12</f>
        <v>6142</v>
      </c>
      <c r="BF12" s="15">
        <f t="shared" ref="BF12:BF13" si="57">(BE12/BD12-1)*100</f>
        <v>-94.738149699726719</v>
      </c>
      <c r="BG12" s="66">
        <v>199463</v>
      </c>
      <c r="BH12" s="66">
        <v>40901</v>
      </c>
      <c r="BI12" s="15">
        <f t="shared" ref="BI12:BI13" si="58">(BH12/BG12-1)*100</f>
        <v>-79.494442578322804</v>
      </c>
      <c r="BJ12" s="63">
        <f>BM12-BG12</f>
        <v>19689</v>
      </c>
      <c r="BK12" s="63">
        <f>BN12-BH12</f>
        <v>6970</v>
      </c>
      <c r="BL12" s="15">
        <f t="shared" ref="BL12:BL13" si="59">(BK12/BJ12-1)*100</f>
        <v>-64.599522576057694</v>
      </c>
      <c r="BM12" s="66">
        <v>219152</v>
      </c>
      <c r="BN12" s="66">
        <v>47871</v>
      </c>
      <c r="BO12" s="15">
        <f t="shared" ref="BO12:BO13" si="60">(BN12/BM12-1)*100</f>
        <v>-78.15625684456451</v>
      </c>
      <c r="BP12" s="63">
        <f>BS12-BM12</f>
        <v>6330</v>
      </c>
      <c r="BQ12" s="63">
        <f>BT12-BN12</f>
        <v>9286</v>
      </c>
      <c r="BR12" s="15">
        <f t="shared" ref="BR12:BR13" si="61">(BQ12/BP12-1)*100</f>
        <v>46.698262243285946</v>
      </c>
      <c r="BS12" s="66">
        <v>225482</v>
      </c>
      <c r="BT12" s="66">
        <v>57157</v>
      </c>
      <c r="BU12" s="15">
        <f t="shared" ref="BU12:BU13" si="62">(BT12/BS12-1)*100</f>
        <v>-74.651191669401555</v>
      </c>
      <c r="BV12" s="63">
        <f>BY12-BS12</f>
        <v>3361</v>
      </c>
      <c r="BW12" s="63">
        <f>BZ12-BT12</f>
        <v>7339</v>
      </c>
      <c r="BX12" s="15">
        <f t="shared" ref="BX12:BX13" si="63">(BW12/BV12-1)*100</f>
        <v>118.35763165724487</v>
      </c>
      <c r="BY12" s="66">
        <v>228843</v>
      </c>
      <c r="BZ12" s="66">
        <v>64496</v>
      </c>
      <c r="CA12" s="15">
        <f t="shared" ref="CA12:CA13" si="64">(BZ12/BY12-1)*100</f>
        <v>-71.81648553812002</v>
      </c>
      <c r="CB12" s="108"/>
    </row>
    <row r="13" spans="1:80" s="1" customFormat="1" ht="19.5" customHeight="1">
      <c r="A13" s="190"/>
      <c r="B13" s="120"/>
      <c r="C13" s="82" t="s">
        <v>104</v>
      </c>
      <c r="D13" s="17">
        <v>2896920</v>
      </c>
      <c r="E13" s="17">
        <v>5010305</v>
      </c>
      <c r="F13" s="17">
        <v>11004574</v>
      </c>
      <c r="G13" s="17">
        <v>11156936</v>
      </c>
      <c r="H13" s="17">
        <v>14106429</v>
      </c>
      <c r="I13" s="17">
        <v>20211317</v>
      </c>
      <c r="J13" s="17">
        <v>22677658</v>
      </c>
      <c r="K13" s="17">
        <v>1400487</v>
      </c>
      <c r="L13" s="17">
        <v>969801</v>
      </c>
      <c r="M13" s="18">
        <f t="shared" si="0"/>
        <v>-30.752588206816633</v>
      </c>
      <c r="N13" s="17">
        <f>Q13-K13</f>
        <v>1432746</v>
      </c>
      <c r="O13" s="17">
        <f>R13-L13</f>
        <v>1243397</v>
      </c>
      <c r="P13" s="18">
        <f t="shared" si="1"/>
        <v>-13.215810757803547</v>
      </c>
      <c r="Q13" s="17">
        <v>2833233</v>
      </c>
      <c r="R13" s="17">
        <v>2213198</v>
      </c>
      <c r="S13" s="18">
        <f t="shared" si="2"/>
        <v>-21.884363199214462</v>
      </c>
      <c r="T13" s="17">
        <f>W13-Q13</f>
        <v>2112985</v>
      </c>
      <c r="U13" s="17">
        <f>X13-R13</f>
        <v>1099287</v>
      </c>
      <c r="V13" s="18">
        <f t="shared" si="45"/>
        <v>-47.974689834523197</v>
      </c>
      <c r="W13" s="17">
        <v>4946218</v>
      </c>
      <c r="X13" s="17">
        <v>3312485</v>
      </c>
      <c r="Y13" s="18">
        <f t="shared" si="46"/>
        <v>-33.029943281917618</v>
      </c>
      <c r="Z13" s="17">
        <f>AC13-W13</f>
        <v>3578175</v>
      </c>
      <c r="AA13" s="17">
        <f>AD13-X13</f>
        <v>502686</v>
      </c>
      <c r="AB13" s="18">
        <f t="shared" si="47"/>
        <v>-85.951329937747587</v>
      </c>
      <c r="AC13" s="17">
        <v>8524393</v>
      </c>
      <c r="AD13" s="17">
        <v>3815171</v>
      </c>
      <c r="AE13" s="18">
        <f t="shared" si="48"/>
        <v>-55.244074270156254</v>
      </c>
      <c r="AF13" s="17">
        <f>AI13-AC13</f>
        <v>2064110</v>
      </c>
      <c r="AG13" s="17">
        <f>AJ13-AD13</f>
        <v>2617563</v>
      </c>
      <c r="AH13" s="18">
        <f t="shared" si="49"/>
        <v>26.81315433770488</v>
      </c>
      <c r="AI13" s="17">
        <v>10588503</v>
      </c>
      <c r="AJ13" s="17">
        <v>6432734</v>
      </c>
      <c r="AK13" s="18">
        <f t="shared" si="50"/>
        <v>-39.24793712576745</v>
      </c>
      <c r="AL13" s="17">
        <f>AO13-AI13</f>
        <v>1879158</v>
      </c>
      <c r="AM13" s="17">
        <f>AP13-AJ13</f>
        <v>1537496</v>
      </c>
      <c r="AN13" s="18">
        <f t="shared" si="51"/>
        <v>-18.181653698092447</v>
      </c>
      <c r="AO13" s="17">
        <v>12467661</v>
      </c>
      <c r="AP13" s="17">
        <v>7970230</v>
      </c>
      <c r="AQ13" s="18">
        <f t="shared" si="52"/>
        <v>-36.072772591426727</v>
      </c>
      <c r="AR13" s="17">
        <f>AU13-AO13</f>
        <v>1803818</v>
      </c>
      <c r="AS13" s="17">
        <f>AV13-AP13</f>
        <v>775710</v>
      </c>
      <c r="AT13" s="18">
        <f t="shared" si="53"/>
        <v>-56.996215804476947</v>
      </c>
      <c r="AU13" s="17">
        <v>14271479</v>
      </c>
      <c r="AV13" s="17">
        <v>8745940</v>
      </c>
      <c r="AW13" s="18">
        <f t="shared" si="54"/>
        <v>-38.717353681422928</v>
      </c>
      <c r="AX13" s="17">
        <f>BA13-AU13</f>
        <v>1635087</v>
      </c>
      <c r="AY13" s="17">
        <f>BB13-AV13</f>
        <v>625607</v>
      </c>
      <c r="AZ13" s="18">
        <f t="shared" si="55"/>
        <v>-61.738610850676444</v>
      </c>
      <c r="BA13" s="17">
        <v>15906566</v>
      </c>
      <c r="BB13" s="17">
        <v>9371547</v>
      </c>
      <c r="BC13" s="18">
        <f t="shared" si="56"/>
        <v>-41.083782634165033</v>
      </c>
      <c r="BD13" s="17">
        <f>BG13-BA13</f>
        <v>3140202</v>
      </c>
      <c r="BE13" s="17">
        <f>BH13-BB13</f>
        <v>1746301</v>
      </c>
      <c r="BF13" s="18">
        <f t="shared" si="57"/>
        <v>-44.388896000957899</v>
      </c>
      <c r="BG13" s="17">
        <v>19046768</v>
      </c>
      <c r="BH13" s="17">
        <v>11117848</v>
      </c>
      <c r="BI13" s="18">
        <f t="shared" si="58"/>
        <v>-41.62868996986785</v>
      </c>
      <c r="BJ13" s="17">
        <f>BM13-BG13</f>
        <v>1671403</v>
      </c>
      <c r="BK13" s="17">
        <f>BN13-BH13</f>
        <v>1844594</v>
      </c>
      <c r="BL13" s="18">
        <f t="shared" si="59"/>
        <v>10.362013230800704</v>
      </c>
      <c r="BM13" s="17">
        <v>20718171</v>
      </c>
      <c r="BN13" s="17">
        <v>12962442</v>
      </c>
      <c r="BO13" s="18">
        <f t="shared" si="60"/>
        <v>-37.434428936801424</v>
      </c>
      <c r="BP13" s="17">
        <f>BS13-BM13</f>
        <v>1053158</v>
      </c>
      <c r="BQ13" s="17">
        <f>BT13-BN13</f>
        <v>1223023</v>
      </c>
      <c r="BR13" s="18">
        <f t="shared" si="61"/>
        <v>16.129108832672777</v>
      </c>
      <c r="BS13" s="17">
        <v>21771329</v>
      </c>
      <c r="BT13" s="17">
        <v>14185465</v>
      </c>
      <c r="BU13" s="18">
        <f t="shared" si="62"/>
        <v>-34.843366704898905</v>
      </c>
      <c r="BV13" s="17">
        <f>BY13-BS13</f>
        <v>906329</v>
      </c>
      <c r="BW13" s="17">
        <f>BZ13-BT13</f>
        <v>1488570</v>
      </c>
      <c r="BX13" s="18">
        <f t="shared" si="63"/>
        <v>64.241682656077444</v>
      </c>
      <c r="BY13" s="17">
        <v>22677658</v>
      </c>
      <c r="BZ13" s="17">
        <v>15674035</v>
      </c>
      <c r="CA13" s="18">
        <f t="shared" si="64"/>
        <v>-30.883361059594428</v>
      </c>
      <c r="CB13" s="108"/>
    </row>
    <row r="14" spans="1:80" s="1" customFormat="1" ht="19.5" customHeight="1">
      <c r="A14" s="191"/>
      <c r="B14" s="121"/>
      <c r="C14" s="83" t="s">
        <v>105</v>
      </c>
      <c r="D14" s="64">
        <f t="shared" ref="D14:L14" si="65">D13/D12</f>
        <v>197.86353391161805</v>
      </c>
      <c r="E14" s="64">
        <f t="shared" si="65"/>
        <v>213.63173154820279</v>
      </c>
      <c r="F14" s="64">
        <f t="shared" si="65"/>
        <v>72.272037092982018</v>
      </c>
      <c r="G14" s="64">
        <f t="shared" si="65"/>
        <v>97.075924475767863</v>
      </c>
      <c r="H14" s="64">
        <f>H13/H12</f>
        <v>86.019531559658759</v>
      </c>
      <c r="I14" s="64">
        <f>I13/I12</f>
        <v>175.55365720192131</v>
      </c>
      <c r="J14" s="64">
        <f>J13/J12</f>
        <v>99.097014110110422</v>
      </c>
      <c r="K14" s="64">
        <f t="shared" si="65"/>
        <v>169.94139060793594</v>
      </c>
      <c r="L14" s="64">
        <f t="shared" si="65"/>
        <v>225.7976717112922</v>
      </c>
      <c r="M14" s="65"/>
      <c r="N14" s="64">
        <f>N13/N12</f>
        <v>283.65590972084738</v>
      </c>
      <c r="O14" s="64">
        <f>O13/O12</f>
        <v>359.67515186577958</v>
      </c>
      <c r="P14" s="65"/>
      <c r="Q14" s="64">
        <f>Q13/Q12</f>
        <v>213.15325007523322</v>
      </c>
      <c r="R14" s="64">
        <f>R13/R12</f>
        <v>285.50025799793599</v>
      </c>
      <c r="S14" s="65"/>
      <c r="T14" s="64">
        <f>T13/T12</f>
        <v>324.1768947529917</v>
      </c>
      <c r="U14" s="64">
        <f>U13/U12</f>
        <v>234.68979504696841</v>
      </c>
      <c r="V14" s="65"/>
      <c r="W14" s="64">
        <f>W13/W12</f>
        <v>249.6828874305906</v>
      </c>
      <c r="X14" s="64">
        <f>X13/X12</f>
        <v>266.36257639112256</v>
      </c>
      <c r="Y14" s="65"/>
      <c r="Z14" s="64">
        <f>Z13/Z12</f>
        <v>128.2959842237361</v>
      </c>
      <c r="AA14" s="64">
        <f>AA13/AA12</f>
        <v>473.78510838831289</v>
      </c>
      <c r="AB14" s="65"/>
      <c r="AC14" s="64">
        <f>AC13/AC12</f>
        <v>178.70844863731656</v>
      </c>
      <c r="AD14" s="64">
        <f>AD13/AD12</f>
        <v>282.6680743869008</v>
      </c>
      <c r="AE14" s="65"/>
      <c r="AF14" s="64">
        <f>AF13/AF12</f>
        <v>266.88776829583657</v>
      </c>
      <c r="AG14" s="64">
        <f>AG13/AG12</f>
        <v>204.09847953216374</v>
      </c>
      <c r="AH14" s="65"/>
      <c r="AI14" s="64">
        <f>AI13/AI12</f>
        <v>191.01098603744995</v>
      </c>
      <c r="AJ14" s="64">
        <f>AJ13/AJ12</f>
        <v>244.38621685282274</v>
      </c>
      <c r="AK14" s="65"/>
      <c r="AL14" s="64">
        <f>AL13/AL12</f>
        <v>318.98794771685624</v>
      </c>
      <c r="AM14" s="64">
        <f>AM13/AM12</f>
        <v>367.29479216435737</v>
      </c>
      <c r="AN14" s="65"/>
      <c r="AO14" s="64">
        <f>AO13/AO12</f>
        <v>203.30470444353853</v>
      </c>
      <c r="AP14" s="64">
        <f>AP13/AP12</f>
        <v>261.25049167431496</v>
      </c>
      <c r="AQ14" s="65"/>
      <c r="AR14" s="64">
        <f>AR13/AR12</f>
        <v>327.25290275761972</v>
      </c>
      <c r="AS14" s="64">
        <f>AS13/AS12</f>
        <v>320.67383216205042</v>
      </c>
      <c r="AT14" s="65"/>
      <c r="AU14" s="64">
        <f>AU13/AU12</f>
        <v>213.52662447446772</v>
      </c>
      <c r="AV14" s="64">
        <f>AV13/AV12</f>
        <v>265.61605976857896</v>
      </c>
      <c r="AW14" s="65"/>
      <c r="AX14" s="64">
        <f>AX13/AX12</f>
        <v>102.84212843575068</v>
      </c>
      <c r="AY14" s="64">
        <f>AY13/AY12</f>
        <v>341.48853711790395</v>
      </c>
      <c r="AZ14" s="65"/>
      <c r="BA14" s="64">
        <f>BA13/BA12</f>
        <v>192.25688938309804</v>
      </c>
      <c r="BB14" s="64">
        <f>BB13/BB12</f>
        <v>269.61497741592103</v>
      </c>
      <c r="BC14" s="65"/>
      <c r="BD14" s="64">
        <f>BD13/BD12</f>
        <v>26.902104911460075</v>
      </c>
      <c r="BE14" s="64">
        <f>BE13/BE12</f>
        <v>284.32123086942363</v>
      </c>
      <c r="BF14" s="65"/>
      <c r="BG14" s="64">
        <f>BG13/BG12</f>
        <v>95.490231270962539</v>
      </c>
      <c r="BH14" s="64">
        <f>BH13/BH12</f>
        <v>271.82337840150609</v>
      </c>
      <c r="BI14" s="65"/>
      <c r="BJ14" s="64">
        <f>BJ13/BJ12</f>
        <v>84.890192493270348</v>
      </c>
      <c r="BK14" s="64">
        <f>BK13/BK12</f>
        <v>264.64763271162121</v>
      </c>
      <c r="BL14" s="65"/>
      <c r="BM14" s="64">
        <f>BM13/BM12</f>
        <v>94.537905198218581</v>
      </c>
      <c r="BN14" s="64">
        <f>BN13/BN12</f>
        <v>270.77859246725575</v>
      </c>
      <c r="BO14" s="65"/>
      <c r="BP14" s="64">
        <f>BP13/BP12</f>
        <v>166.37567140600316</v>
      </c>
      <c r="BQ14" s="64">
        <f>BQ13/BQ12</f>
        <v>131.70611673486971</v>
      </c>
      <c r="BR14" s="65"/>
      <c r="BS14" s="64">
        <f>BS13/BS12</f>
        <v>96.554620767954873</v>
      </c>
      <c r="BT14" s="64">
        <f>BT13/BT12</f>
        <v>248.18421190755288</v>
      </c>
      <c r="BU14" s="65"/>
      <c r="BV14" s="64">
        <f>BV13/BV12</f>
        <v>269.66051770306456</v>
      </c>
      <c r="BW14" s="64">
        <f>BW13/BW12</f>
        <v>202.83008584275788</v>
      </c>
      <c r="BX14" s="65"/>
      <c r="BY14" s="64">
        <f>BY13/BY12</f>
        <v>99.097014110110422</v>
      </c>
      <c r="BZ14" s="64">
        <f>BZ13/BZ12</f>
        <v>243.02336579012652</v>
      </c>
      <c r="CA14" s="65"/>
      <c r="CB14" s="108"/>
    </row>
    <row r="15" spans="1:80" s="1" customFormat="1" ht="19.5" customHeight="1">
      <c r="A15" s="178" t="s">
        <v>138</v>
      </c>
      <c r="B15" s="114">
        <v>8104</v>
      </c>
      <c r="C15" s="81" t="s">
        <v>42</v>
      </c>
      <c r="D15" s="66">
        <v>1494430</v>
      </c>
      <c r="E15" s="66">
        <v>1100104</v>
      </c>
      <c r="F15" s="66">
        <v>1228759</v>
      </c>
      <c r="G15" s="66">
        <v>1270731</v>
      </c>
      <c r="H15" s="66">
        <v>4330588</v>
      </c>
      <c r="I15" s="66">
        <v>3556190</v>
      </c>
      <c r="J15" s="66">
        <v>2887775</v>
      </c>
      <c r="K15" s="66">
        <v>157618</v>
      </c>
      <c r="L15" s="66">
        <v>349078</v>
      </c>
      <c r="M15" s="15">
        <f t="shared" si="0"/>
        <v>121.47089799388394</v>
      </c>
      <c r="N15" s="63">
        <f>Q15-K15</f>
        <v>148554</v>
      </c>
      <c r="O15" s="63">
        <f>R15-L15</f>
        <v>169248</v>
      </c>
      <c r="P15" s="15">
        <f t="shared" si="1"/>
        <v>13.930287976089506</v>
      </c>
      <c r="Q15" s="66">
        <v>306172</v>
      </c>
      <c r="R15" s="66">
        <v>518326</v>
      </c>
      <c r="S15" s="15">
        <f t="shared" si="2"/>
        <v>69.292423866323503</v>
      </c>
      <c r="T15" s="63">
        <f>W15-Q15</f>
        <v>305492</v>
      </c>
      <c r="U15" s="63">
        <f>X15-R15</f>
        <v>286193</v>
      </c>
      <c r="V15" s="15">
        <f t="shared" ref="V15:V16" si="66">(U15/T15-1)*100</f>
        <v>-6.3173503725138414</v>
      </c>
      <c r="W15" s="66">
        <v>611664</v>
      </c>
      <c r="X15" s="66">
        <v>804519</v>
      </c>
      <c r="Y15" s="15">
        <f t="shared" ref="Y15:Y16" si="67">(X15/W15-1)*100</f>
        <v>31.529565251510626</v>
      </c>
      <c r="Z15" s="63">
        <f>AC15-W15</f>
        <v>191787</v>
      </c>
      <c r="AA15" s="63">
        <f>AD15-X15</f>
        <v>318797</v>
      </c>
      <c r="AB15" s="15">
        <f t="shared" ref="AB15:AB16" si="68">(AA15/Z15-1)*100</f>
        <v>66.224509481873127</v>
      </c>
      <c r="AC15" s="66">
        <v>803451</v>
      </c>
      <c r="AD15" s="66">
        <v>1123316</v>
      </c>
      <c r="AE15" s="15">
        <f t="shared" ref="AE15:AE16" si="69">(AD15/AC15-1)*100</f>
        <v>39.811388622330426</v>
      </c>
      <c r="AF15" s="63">
        <f>AI15-AC15</f>
        <v>176150</v>
      </c>
      <c r="AG15" s="63">
        <f>AJ15-AD15</f>
        <v>235656</v>
      </c>
      <c r="AH15" s="15">
        <f t="shared" ref="AH15:AH16" si="70">(AG15/AF15-1)*100</f>
        <v>33.781436275901221</v>
      </c>
      <c r="AI15" s="66">
        <v>979601</v>
      </c>
      <c r="AJ15" s="66">
        <v>1358972</v>
      </c>
      <c r="AK15" s="15">
        <f t="shared" ref="AK15:AK16" si="71">(AJ15/AI15-1)*100</f>
        <v>38.72709399030829</v>
      </c>
      <c r="AL15" s="63">
        <f>AO15-AI15</f>
        <v>265181</v>
      </c>
      <c r="AM15" s="63">
        <f>AP15-AJ15</f>
        <v>215594</v>
      </c>
      <c r="AN15" s="15">
        <f t="shared" ref="AN15:AN16" si="72">(AM15/AL15-1)*100</f>
        <v>-18.699303494594254</v>
      </c>
      <c r="AO15" s="66">
        <v>1244782</v>
      </c>
      <c r="AP15" s="66">
        <v>1574566</v>
      </c>
      <c r="AQ15" s="15">
        <f t="shared" ref="AQ15:AQ16" si="73">(AP15/AO15-1)*100</f>
        <v>26.493313688661946</v>
      </c>
      <c r="AR15" s="63">
        <f>AU15-AO15</f>
        <v>341873</v>
      </c>
      <c r="AS15" s="63">
        <f>AV15-AP15</f>
        <v>200940</v>
      </c>
      <c r="AT15" s="15">
        <f t="shared" ref="AT15:AT16" si="74">(AS15/AR15-1)*100</f>
        <v>-41.223787780842592</v>
      </c>
      <c r="AU15" s="66">
        <v>1586655</v>
      </c>
      <c r="AV15" s="66">
        <v>1775506</v>
      </c>
      <c r="AW15" s="15">
        <f t="shared" ref="AW15:AW16" si="75">(AV15/AU15-1)*100</f>
        <v>11.90246146767886</v>
      </c>
      <c r="AX15" s="63">
        <f>BA15-AU15</f>
        <v>128275</v>
      </c>
      <c r="AY15" s="63">
        <f>BB15-AV15</f>
        <v>226028</v>
      </c>
      <c r="AZ15" s="15">
        <f t="shared" ref="AZ15:AZ16" si="76">(AY15/AX15-1)*100</f>
        <v>76.205807834730081</v>
      </c>
      <c r="BA15" s="66">
        <v>1714930</v>
      </c>
      <c r="BB15" s="66">
        <v>2001534</v>
      </c>
      <c r="BC15" s="15">
        <f t="shared" ref="BC15:BC16" si="77">(BB15/BA15-1)*100</f>
        <v>16.712285632649724</v>
      </c>
      <c r="BD15" s="63">
        <f>BG15-BA15</f>
        <v>336796</v>
      </c>
      <c r="BE15" s="63">
        <f>BH15-BB15</f>
        <v>341476</v>
      </c>
      <c r="BF15" s="15">
        <f t="shared" ref="BF15:BF16" si="78">(BE15/BD15-1)*100</f>
        <v>1.3895651967362976</v>
      </c>
      <c r="BG15" s="66">
        <v>2051726</v>
      </c>
      <c r="BH15" s="66">
        <v>2343010</v>
      </c>
      <c r="BI15" s="15">
        <f t="shared" ref="BI15:BI16" si="79">(BH15/BG15-1)*100</f>
        <v>14.197022409425042</v>
      </c>
      <c r="BJ15" s="63">
        <f>BM15-BG15</f>
        <v>325118</v>
      </c>
      <c r="BK15" s="63">
        <f>BN15-BH15</f>
        <v>205081</v>
      </c>
      <c r="BL15" s="15">
        <f t="shared" ref="BL15:BL16" si="80">(BK15/BJ15-1)*100</f>
        <v>-36.921056354923444</v>
      </c>
      <c r="BM15" s="66">
        <v>2376844</v>
      </c>
      <c r="BN15" s="66">
        <v>2548091</v>
      </c>
      <c r="BO15" s="15">
        <f t="shared" ref="BO15:BO16" si="81">(BN15/BM15-1)*100</f>
        <v>7.2048060369128031</v>
      </c>
      <c r="BP15" s="63">
        <f>BS15-BM15</f>
        <v>211863</v>
      </c>
      <c r="BQ15" s="63">
        <f>BT15-BN15</f>
        <v>277543</v>
      </c>
      <c r="BR15" s="15">
        <f t="shared" ref="BR15:BR16" si="82">(BQ15/BP15-1)*100</f>
        <v>31.00116584774122</v>
      </c>
      <c r="BS15" s="66">
        <v>2588707</v>
      </c>
      <c r="BT15" s="66">
        <v>2825634</v>
      </c>
      <c r="BU15" s="15">
        <f t="shared" ref="BU15:BU16" si="83">(BT15/BS15-1)*100</f>
        <v>9.1523297151821392</v>
      </c>
      <c r="BV15" s="63">
        <f>BY15-BS15</f>
        <v>299068</v>
      </c>
      <c r="BW15" s="63">
        <f>BZ15-BT15</f>
        <v>274222</v>
      </c>
      <c r="BX15" s="15">
        <f t="shared" ref="BX15:BX16" si="84">(BW15/BV15-1)*100</f>
        <v>-8.3078095951422455</v>
      </c>
      <c r="BY15" s="66">
        <v>2887775</v>
      </c>
      <c r="BZ15" s="66">
        <v>3099856</v>
      </c>
      <c r="CA15" s="15">
        <f t="shared" ref="CA15:CA16" si="85">(BZ15/BY15-1)*100</f>
        <v>7.3440970989775867</v>
      </c>
      <c r="CB15" s="108"/>
    </row>
    <row r="16" spans="1:80" s="1" customFormat="1" ht="19.5" customHeight="1">
      <c r="A16" s="190"/>
      <c r="B16" s="120"/>
      <c r="C16" s="82" t="s">
        <v>104</v>
      </c>
      <c r="D16" s="17">
        <v>3791884</v>
      </c>
      <c r="E16" s="17">
        <v>3911550</v>
      </c>
      <c r="F16" s="17">
        <v>5317468</v>
      </c>
      <c r="G16" s="17">
        <v>4667934</v>
      </c>
      <c r="H16" s="17">
        <v>8510216</v>
      </c>
      <c r="I16" s="17">
        <v>11256607</v>
      </c>
      <c r="J16" s="17">
        <v>16022943</v>
      </c>
      <c r="K16" s="17">
        <v>893874</v>
      </c>
      <c r="L16" s="17">
        <v>2187925</v>
      </c>
      <c r="M16" s="18">
        <f t="shared" si="0"/>
        <v>144.76883766615876</v>
      </c>
      <c r="N16" s="17">
        <f>Q16-K16</f>
        <v>939636</v>
      </c>
      <c r="O16" s="17">
        <f>R16-L16</f>
        <v>845934</v>
      </c>
      <c r="P16" s="18">
        <f t="shared" si="1"/>
        <v>-9.9721594319502458</v>
      </c>
      <c r="Q16" s="17">
        <v>1833510</v>
      </c>
      <c r="R16" s="17">
        <v>3033859</v>
      </c>
      <c r="S16" s="18">
        <f t="shared" si="2"/>
        <v>65.467273153677908</v>
      </c>
      <c r="T16" s="17">
        <f>W16-Q16</f>
        <v>1723066</v>
      </c>
      <c r="U16" s="17">
        <f>X16-R16</f>
        <v>1835355</v>
      </c>
      <c r="V16" s="18">
        <f t="shared" si="66"/>
        <v>6.5168136333721316</v>
      </c>
      <c r="W16" s="17">
        <v>3556576</v>
      </c>
      <c r="X16" s="17">
        <v>4869214</v>
      </c>
      <c r="Y16" s="18">
        <f t="shared" si="67"/>
        <v>36.907351340165363</v>
      </c>
      <c r="Z16" s="17">
        <f>AC16-W16</f>
        <v>1400404</v>
      </c>
      <c r="AA16" s="17">
        <f>AD16-X16</f>
        <v>1490773</v>
      </c>
      <c r="AB16" s="18">
        <f t="shared" si="68"/>
        <v>6.4530664008386251</v>
      </c>
      <c r="AC16" s="17">
        <v>4956980</v>
      </c>
      <c r="AD16" s="17">
        <v>6359987</v>
      </c>
      <c r="AE16" s="18">
        <f t="shared" si="69"/>
        <v>28.303664731348533</v>
      </c>
      <c r="AF16" s="17">
        <f>AI16-AC16</f>
        <v>1679186</v>
      </c>
      <c r="AG16" s="17">
        <f>AJ16-AD16</f>
        <v>1456431</v>
      </c>
      <c r="AH16" s="18">
        <f t="shared" si="70"/>
        <v>-13.265653715550274</v>
      </c>
      <c r="AI16" s="17">
        <v>6636166</v>
      </c>
      <c r="AJ16" s="17">
        <v>7816418</v>
      </c>
      <c r="AK16" s="18">
        <f t="shared" si="71"/>
        <v>17.785148834432405</v>
      </c>
      <c r="AL16" s="17">
        <f>AO16-AI16</f>
        <v>1416674</v>
      </c>
      <c r="AM16" s="17">
        <f>AP16-AJ16</f>
        <v>1866572</v>
      </c>
      <c r="AN16" s="18">
        <f t="shared" si="72"/>
        <v>31.757341491408742</v>
      </c>
      <c r="AO16" s="17">
        <v>8052840</v>
      </c>
      <c r="AP16" s="17">
        <v>9682990</v>
      </c>
      <c r="AQ16" s="18">
        <f t="shared" si="73"/>
        <v>20.243168869616191</v>
      </c>
      <c r="AR16" s="17">
        <f>AU16-AO16</f>
        <v>2085460</v>
      </c>
      <c r="AS16" s="17">
        <f>AV16-AP16</f>
        <v>1348187</v>
      </c>
      <c r="AT16" s="18">
        <f t="shared" si="74"/>
        <v>-35.353015641633021</v>
      </c>
      <c r="AU16" s="17">
        <v>10138300</v>
      </c>
      <c r="AV16" s="17">
        <v>11031177</v>
      </c>
      <c r="AW16" s="18">
        <f t="shared" si="75"/>
        <v>8.8069696102896842</v>
      </c>
      <c r="AX16" s="17">
        <f>BA16-AU16</f>
        <v>829729</v>
      </c>
      <c r="AY16" s="17">
        <f>BB16-AV16</f>
        <v>1340805</v>
      </c>
      <c r="AZ16" s="18">
        <f t="shared" si="76"/>
        <v>61.595532999328697</v>
      </c>
      <c r="BA16" s="17">
        <v>10968029</v>
      </c>
      <c r="BB16" s="17">
        <v>12371982</v>
      </c>
      <c r="BC16" s="18">
        <f t="shared" si="77"/>
        <v>12.800412909192715</v>
      </c>
      <c r="BD16" s="17">
        <f>BG16-BA16</f>
        <v>1496439</v>
      </c>
      <c r="BE16" s="17">
        <f>BH16-BB16</f>
        <v>1669581</v>
      </c>
      <c r="BF16" s="18">
        <f t="shared" si="78"/>
        <v>11.570267815794688</v>
      </c>
      <c r="BG16" s="17">
        <v>12464468</v>
      </c>
      <c r="BH16" s="17">
        <v>14041563</v>
      </c>
      <c r="BI16" s="18">
        <f t="shared" si="79"/>
        <v>12.65272613319719</v>
      </c>
      <c r="BJ16" s="17">
        <f>BM16-BG16</f>
        <v>1173236</v>
      </c>
      <c r="BK16" s="17">
        <f>BN16-BH16</f>
        <v>1313225</v>
      </c>
      <c r="BL16" s="18">
        <f t="shared" si="80"/>
        <v>11.931870484710672</v>
      </c>
      <c r="BM16" s="17">
        <v>13637704</v>
      </c>
      <c r="BN16" s="17">
        <v>15354788</v>
      </c>
      <c r="BO16" s="18">
        <f t="shared" si="81"/>
        <v>12.590711750306349</v>
      </c>
      <c r="BP16" s="17">
        <f>BS16-BM16</f>
        <v>1064079</v>
      </c>
      <c r="BQ16" s="17">
        <f>BT16-BN16</f>
        <v>1350288</v>
      </c>
      <c r="BR16" s="18">
        <f t="shared" si="82"/>
        <v>26.897345027953754</v>
      </c>
      <c r="BS16" s="17">
        <v>14701783</v>
      </c>
      <c r="BT16" s="17">
        <v>16705076</v>
      </c>
      <c r="BU16" s="18">
        <f t="shared" si="83"/>
        <v>13.626190782437742</v>
      </c>
      <c r="BV16" s="17">
        <f>BY16-BS16</f>
        <v>1321160</v>
      </c>
      <c r="BW16" s="17">
        <f>BZ16-BT16</f>
        <v>1419412</v>
      </c>
      <c r="BX16" s="18">
        <f t="shared" si="84"/>
        <v>7.4367979654243133</v>
      </c>
      <c r="BY16" s="17">
        <v>16022943</v>
      </c>
      <c r="BZ16" s="17">
        <v>18124488</v>
      </c>
      <c r="CA16" s="18">
        <f t="shared" si="85"/>
        <v>13.115848942357221</v>
      </c>
      <c r="CB16" s="108"/>
    </row>
    <row r="17" spans="1:80" s="1" customFormat="1" ht="19.5" customHeight="1">
      <c r="A17" s="191"/>
      <c r="B17" s="121"/>
      <c r="C17" s="83" t="s">
        <v>105</v>
      </c>
      <c r="D17" s="64">
        <f t="shared" ref="D17:L17" si="86">D16/D15</f>
        <v>2.5373446732198897</v>
      </c>
      <c r="E17" s="64">
        <f t="shared" si="86"/>
        <v>3.5556183778988166</v>
      </c>
      <c r="F17" s="64">
        <f t="shared" si="86"/>
        <v>4.327510927692086</v>
      </c>
      <c r="G17" s="64">
        <f t="shared" si="86"/>
        <v>3.6734241944203769</v>
      </c>
      <c r="H17" s="64">
        <f>H16/H15</f>
        <v>1.9651409924010319</v>
      </c>
      <c r="I17" s="64">
        <f>I16/I15</f>
        <v>3.1653559005564946</v>
      </c>
      <c r="J17" s="64">
        <f>J16/J15</f>
        <v>5.5485427361896269</v>
      </c>
      <c r="K17" s="64">
        <f t="shared" si="86"/>
        <v>5.6711416208808636</v>
      </c>
      <c r="L17" s="64">
        <f t="shared" si="86"/>
        <v>6.2677252648405224</v>
      </c>
      <c r="M17" s="65"/>
      <c r="N17" s="64">
        <f>N16/N15</f>
        <v>6.3252150733066763</v>
      </c>
      <c r="O17" s="64">
        <f>O16/O15</f>
        <v>4.9981920022688602</v>
      </c>
      <c r="P17" s="65"/>
      <c r="Q17" s="64">
        <f>Q16/Q15</f>
        <v>5.9884966620069768</v>
      </c>
      <c r="R17" s="64">
        <f>R16/R15</f>
        <v>5.8531869904268738</v>
      </c>
      <c r="S17" s="65"/>
      <c r="T17" s="64">
        <f>T16/T15</f>
        <v>5.6402982729498641</v>
      </c>
      <c r="U17" s="64">
        <f>U16/U15</f>
        <v>6.4129975226507989</v>
      </c>
      <c r="V17" s="65"/>
      <c r="W17" s="64">
        <f>W16/W15</f>
        <v>5.8145910172905388</v>
      </c>
      <c r="X17" s="64">
        <f>X16/X15</f>
        <v>6.0523294042775868</v>
      </c>
      <c r="Y17" s="65"/>
      <c r="Z17" s="64">
        <f>Z16/Z15</f>
        <v>7.3018713468587544</v>
      </c>
      <c r="AA17" s="64">
        <f>AA16/AA15</f>
        <v>4.6762453849942123</v>
      </c>
      <c r="AB17" s="65"/>
      <c r="AC17" s="64">
        <f>AC16/AC15</f>
        <v>6.1696108412336281</v>
      </c>
      <c r="AD17" s="64">
        <f>AD16/AD15</f>
        <v>5.6617968585865421</v>
      </c>
      <c r="AE17" s="65"/>
      <c r="AF17" s="64">
        <f>AF16/AF15</f>
        <v>9.532705080896962</v>
      </c>
      <c r="AG17" s="64">
        <f>AG16/AG15</f>
        <v>6.1803264079845199</v>
      </c>
      <c r="AH17" s="65"/>
      <c r="AI17" s="64">
        <f>AI16/AI15</f>
        <v>6.7743560898774096</v>
      </c>
      <c r="AJ17" s="64">
        <f>AJ16/AJ15</f>
        <v>5.7517137954277207</v>
      </c>
      <c r="AK17" s="65"/>
      <c r="AL17" s="64">
        <f>AL16/AL15</f>
        <v>5.3422907372700159</v>
      </c>
      <c r="AM17" s="64">
        <f>AM16/AM15</f>
        <v>8.6578105142072594</v>
      </c>
      <c r="AN17" s="65"/>
      <c r="AO17" s="64">
        <f>AO16/AO15</f>
        <v>6.4692773513755819</v>
      </c>
      <c r="AP17" s="64">
        <f>AP16/AP15</f>
        <v>6.1496247219868838</v>
      </c>
      <c r="AQ17" s="65"/>
      <c r="AR17" s="64">
        <f>AR16/AR15</f>
        <v>6.1001014996797061</v>
      </c>
      <c r="AS17" s="64">
        <f>AS16/AS15</f>
        <v>6.7094008161640293</v>
      </c>
      <c r="AT17" s="65"/>
      <c r="AU17" s="64">
        <f>AU16/AU15</f>
        <v>6.3897318572720598</v>
      </c>
      <c r="AV17" s="64">
        <f>AV16/AV15</f>
        <v>6.2129764698063541</v>
      </c>
      <c r="AW17" s="65"/>
      <c r="AX17" s="64">
        <f>AX16/AX15</f>
        <v>6.4683609432859095</v>
      </c>
      <c r="AY17" s="64">
        <f>AY16/AY15</f>
        <v>5.932030544888244</v>
      </c>
      <c r="AZ17" s="65"/>
      <c r="BA17" s="64">
        <f>BA16/BA15</f>
        <v>6.395613232026963</v>
      </c>
      <c r="BB17" s="64">
        <f>BB16/BB15</f>
        <v>6.1812499812643704</v>
      </c>
      <c r="BC17" s="65"/>
      <c r="BD17" s="64">
        <f>BD16/BD15</f>
        <v>4.4431614389719591</v>
      </c>
      <c r="BE17" s="64">
        <f>BE16/BE15</f>
        <v>4.8893070083988333</v>
      </c>
      <c r="BF17" s="65"/>
      <c r="BG17" s="64">
        <f>BG16/BG15</f>
        <v>6.0751133435946123</v>
      </c>
      <c r="BH17" s="64">
        <f>BH16/BH15</f>
        <v>5.9929590569395774</v>
      </c>
      <c r="BI17" s="65"/>
      <c r="BJ17" s="64">
        <f>BJ16/BJ15</f>
        <v>3.6086467067341705</v>
      </c>
      <c r="BK17" s="64">
        <f>BK16/BK15</f>
        <v>6.4034454678882975</v>
      </c>
      <c r="BL17" s="65"/>
      <c r="BM17" s="64">
        <f>BM16/BM15</f>
        <v>5.7377362586690586</v>
      </c>
      <c r="BN17" s="64">
        <f>BN16/BN15</f>
        <v>6.0259967167577608</v>
      </c>
      <c r="BO17" s="65"/>
      <c r="BP17" s="64">
        <f>BP16/BP15</f>
        <v>5.022486229308563</v>
      </c>
      <c r="BQ17" s="64">
        <f>BQ16/BQ15</f>
        <v>4.865148823785864</v>
      </c>
      <c r="BR17" s="65"/>
      <c r="BS17" s="64">
        <f>BS16/BS15</f>
        <v>5.6791993068354198</v>
      </c>
      <c r="BT17" s="64">
        <f>BT16/BT15</f>
        <v>5.9119744453811069</v>
      </c>
      <c r="BU17" s="65"/>
      <c r="BV17" s="64">
        <f>BV16/BV15</f>
        <v>4.4175906482806582</v>
      </c>
      <c r="BW17" s="64">
        <f>BW16/BW15</f>
        <v>5.1761419579756547</v>
      </c>
      <c r="BX17" s="65"/>
      <c r="BY17" s="64">
        <f>BY16/BY15</f>
        <v>5.5485427361896269</v>
      </c>
      <c r="BZ17" s="64">
        <f>BZ16/BZ15</f>
        <v>5.8468806292937474</v>
      </c>
      <c r="CA17" s="65"/>
      <c r="CB17" s="108"/>
    </row>
    <row r="18" spans="1:80" s="1" customFormat="1" ht="19.5" customHeight="1">
      <c r="A18" s="178" t="s">
        <v>139</v>
      </c>
      <c r="B18" s="114">
        <v>8105</v>
      </c>
      <c r="C18" s="81" t="s">
        <v>42</v>
      </c>
      <c r="D18" s="66">
        <v>842272</v>
      </c>
      <c r="E18" s="66">
        <v>857284</v>
      </c>
      <c r="F18" s="66">
        <v>1410365</v>
      </c>
      <c r="G18" s="66">
        <v>1554125</v>
      </c>
      <c r="H18" s="66">
        <v>627796</v>
      </c>
      <c r="I18" s="66">
        <v>595935</v>
      </c>
      <c r="J18" s="66">
        <v>1178928</v>
      </c>
      <c r="K18" s="66">
        <v>75464</v>
      </c>
      <c r="L18" s="66">
        <v>69435</v>
      </c>
      <c r="M18" s="15">
        <f t="shared" si="0"/>
        <v>-7.9892399024700467</v>
      </c>
      <c r="N18" s="63">
        <f>Q18-K18</f>
        <v>412989</v>
      </c>
      <c r="O18" s="63">
        <f>R18-L18</f>
        <v>150987</v>
      </c>
      <c r="P18" s="15">
        <f t="shared" si="1"/>
        <v>-63.440430616796093</v>
      </c>
      <c r="Q18" s="66">
        <v>488453</v>
      </c>
      <c r="R18" s="66">
        <v>220422</v>
      </c>
      <c r="S18" s="15">
        <f t="shared" si="2"/>
        <v>-54.8734473941198</v>
      </c>
      <c r="T18" s="63">
        <f>W18-Q18</f>
        <v>78137</v>
      </c>
      <c r="U18" s="63">
        <f>X18-R18</f>
        <v>302323</v>
      </c>
      <c r="V18" s="15">
        <f t="shared" ref="V18:V19" si="87">(U18/T18-1)*100</f>
        <v>286.91401000806275</v>
      </c>
      <c r="W18" s="66">
        <v>566590</v>
      </c>
      <c r="X18" s="66">
        <v>522745</v>
      </c>
      <c r="Y18" s="15">
        <f t="shared" ref="Y18:Y19" si="88">(X18/W18-1)*100</f>
        <v>-7.7383999011630955</v>
      </c>
      <c r="Z18" s="63">
        <f>AC18-W18</f>
        <v>73167</v>
      </c>
      <c r="AA18" s="63">
        <f>AD18-X18</f>
        <v>256420</v>
      </c>
      <c r="AB18" s="15">
        <f t="shared" ref="AB18:AB19" si="89">(AA18/Z18-1)*100</f>
        <v>250.45854005220934</v>
      </c>
      <c r="AC18" s="66">
        <v>639757</v>
      </c>
      <c r="AD18" s="66">
        <v>779165</v>
      </c>
      <c r="AE18" s="15">
        <f t="shared" ref="AE18:AE19" si="90">(AD18/AC18-1)*100</f>
        <v>21.790773684383289</v>
      </c>
      <c r="AF18" s="63">
        <f>AI18-AC18</f>
        <v>115961</v>
      </c>
      <c r="AG18" s="63">
        <f>AJ18-AD18</f>
        <v>339743</v>
      </c>
      <c r="AH18" s="15">
        <f t="shared" ref="AH18:AH19" si="91">(AG18/AF18-1)*100</f>
        <v>192.98039858228196</v>
      </c>
      <c r="AI18" s="66">
        <v>755718</v>
      </c>
      <c r="AJ18" s="66">
        <v>1118908</v>
      </c>
      <c r="AK18" s="15">
        <f t="shared" ref="AK18:AK19" si="92">(AJ18/AI18-1)*100</f>
        <v>48.05893203549472</v>
      </c>
      <c r="AL18" s="63">
        <f>AO18-AI18</f>
        <v>45845</v>
      </c>
      <c r="AM18" s="63">
        <f>AP18-AJ18</f>
        <v>147516</v>
      </c>
      <c r="AN18" s="15">
        <f t="shared" ref="AN18:AN19" si="93">(AM18/AL18-1)*100</f>
        <v>221.77118551641399</v>
      </c>
      <c r="AO18" s="66">
        <v>801563</v>
      </c>
      <c r="AP18" s="66">
        <v>1266424</v>
      </c>
      <c r="AQ18" s="15">
        <f t="shared" ref="AQ18:AQ19" si="94">(AP18/AO18-1)*100</f>
        <v>57.994318600035186</v>
      </c>
      <c r="AR18" s="63">
        <f>AU18-AO18</f>
        <v>33019</v>
      </c>
      <c r="AS18" s="63">
        <f>AV18-AP18</f>
        <v>476012</v>
      </c>
      <c r="AT18" s="15">
        <f t="shared" ref="AT18:AT19" si="95">(AS18/AR18-1)*100</f>
        <v>1341.6305763348375</v>
      </c>
      <c r="AU18" s="66">
        <v>834582</v>
      </c>
      <c r="AV18" s="66">
        <v>1742436</v>
      </c>
      <c r="AW18" s="15">
        <f t="shared" ref="AW18:AW19" si="96">(AV18/AU18-1)*100</f>
        <v>108.77948481994579</v>
      </c>
      <c r="AX18" s="63">
        <f>BA18-AU18</f>
        <v>31498</v>
      </c>
      <c r="AY18" s="63">
        <f>BB18-AV18</f>
        <v>283668</v>
      </c>
      <c r="AZ18" s="15">
        <f t="shared" ref="AZ18:AZ19" si="97">(AY18/AX18-1)*100</f>
        <v>800.5905136834084</v>
      </c>
      <c r="BA18" s="66">
        <v>866080</v>
      </c>
      <c r="BB18" s="66">
        <v>2026104</v>
      </c>
      <c r="BC18" s="15">
        <f t="shared" ref="BC18:BC19" si="98">(BB18/BA18-1)*100</f>
        <v>133.93958987622389</v>
      </c>
      <c r="BD18" s="63">
        <f>BG18-BA18</f>
        <v>37727</v>
      </c>
      <c r="BE18" s="63">
        <f>BH18-BB18</f>
        <v>206416</v>
      </c>
      <c r="BF18" s="15">
        <f t="shared" ref="BF18:BF19" si="99">(BE18/BD18-1)*100</f>
        <v>447.1307021496541</v>
      </c>
      <c r="BG18" s="66">
        <v>903807</v>
      </c>
      <c r="BH18" s="66">
        <v>2232520</v>
      </c>
      <c r="BI18" s="15">
        <f t="shared" ref="BI18:BI19" si="100">(BH18/BG18-1)*100</f>
        <v>147.01291315513157</v>
      </c>
      <c r="BJ18" s="63">
        <f>BM18-BG18</f>
        <v>97807</v>
      </c>
      <c r="BK18" s="63">
        <f>BN18-BH18</f>
        <v>437035</v>
      </c>
      <c r="BL18" s="15">
        <f t="shared" ref="BL18:BL19" si="101">(BK18/BJ18-1)*100</f>
        <v>346.83407118099933</v>
      </c>
      <c r="BM18" s="66">
        <v>1001614</v>
      </c>
      <c r="BN18" s="66">
        <v>2669555</v>
      </c>
      <c r="BO18" s="15">
        <f t="shared" ref="BO18:BO19" si="102">(BN18/BM18-1)*100</f>
        <v>166.52532812041366</v>
      </c>
      <c r="BP18" s="63">
        <f>BS18-BM18</f>
        <v>97860</v>
      </c>
      <c r="BQ18" s="63">
        <f>BT18-BN18</f>
        <v>590516</v>
      </c>
      <c r="BR18" s="15">
        <f t="shared" ref="BR18:BR19" si="103">(BQ18/BP18-1)*100</f>
        <v>503.42938892295115</v>
      </c>
      <c r="BS18" s="66">
        <v>1099474</v>
      </c>
      <c r="BT18" s="66">
        <v>3260071</v>
      </c>
      <c r="BU18" s="15">
        <f t="shared" ref="BU18:BU19" si="104">(BT18/BS18-1)*100</f>
        <v>196.51187749778529</v>
      </c>
      <c r="BV18" s="63">
        <f>BY18-BS18</f>
        <v>79454</v>
      </c>
      <c r="BW18" s="63">
        <f>BZ18-BT18</f>
        <v>593851</v>
      </c>
      <c r="BX18" s="15">
        <f t="shared" ref="BX18:BX19" si="105">(BW18/BV18-1)*100</f>
        <v>647.4148563948952</v>
      </c>
      <c r="BY18" s="66">
        <v>1178928</v>
      </c>
      <c r="BZ18" s="66">
        <v>3853922</v>
      </c>
      <c r="CA18" s="15">
        <f t="shared" ref="CA18:CA19" si="106">(BZ18/BY18-1)*100</f>
        <v>226.90054015173104</v>
      </c>
      <c r="CB18" s="108"/>
    </row>
    <row r="19" spans="1:80" s="1" customFormat="1" ht="19.5" customHeight="1">
      <c r="A19" s="190"/>
      <c r="B19" s="120"/>
      <c r="C19" s="82" t="s">
        <v>104</v>
      </c>
      <c r="D19" s="17">
        <v>10703017</v>
      </c>
      <c r="E19" s="17">
        <v>13184552</v>
      </c>
      <c r="F19" s="17">
        <v>18305535</v>
      </c>
      <c r="G19" s="17">
        <v>13701688</v>
      </c>
      <c r="H19" s="17">
        <v>7821948</v>
      </c>
      <c r="I19" s="17">
        <v>6761582</v>
      </c>
      <c r="J19" s="17">
        <v>7838374</v>
      </c>
      <c r="K19" s="17">
        <v>537497</v>
      </c>
      <c r="L19" s="17">
        <v>323278</v>
      </c>
      <c r="M19" s="18">
        <f t="shared" si="0"/>
        <v>-39.854920120484394</v>
      </c>
      <c r="N19" s="17">
        <f>Q19-K19</f>
        <v>1085573</v>
      </c>
      <c r="O19" s="17">
        <f>R19-L19</f>
        <v>680491</v>
      </c>
      <c r="P19" s="18">
        <f t="shared" si="1"/>
        <v>-37.315040075609843</v>
      </c>
      <c r="Q19" s="17">
        <v>1623070</v>
      </c>
      <c r="R19" s="17">
        <v>1003769</v>
      </c>
      <c r="S19" s="18">
        <f t="shared" si="2"/>
        <v>-38.156148533334978</v>
      </c>
      <c r="T19" s="17">
        <f>W19-Q19</f>
        <v>561801</v>
      </c>
      <c r="U19" s="17">
        <f>X19-R19</f>
        <v>472599</v>
      </c>
      <c r="V19" s="18">
        <f t="shared" si="87"/>
        <v>-15.877864225944771</v>
      </c>
      <c r="W19" s="17">
        <v>2184871</v>
      </c>
      <c r="X19" s="17">
        <v>1476368</v>
      </c>
      <c r="Y19" s="18">
        <f t="shared" si="88"/>
        <v>-32.427681085061778</v>
      </c>
      <c r="Z19" s="17">
        <f>AC19-W19</f>
        <v>442342</v>
      </c>
      <c r="AA19" s="17">
        <f>AD19-X19</f>
        <v>936096</v>
      </c>
      <c r="AB19" s="18">
        <f t="shared" si="89"/>
        <v>111.62268109291</v>
      </c>
      <c r="AC19" s="17">
        <v>2627213</v>
      </c>
      <c r="AD19" s="17">
        <v>2412464</v>
      </c>
      <c r="AE19" s="18">
        <f t="shared" si="90"/>
        <v>-8.1740231949217641</v>
      </c>
      <c r="AF19" s="17">
        <f>AI19-AC19</f>
        <v>1099898</v>
      </c>
      <c r="AG19" s="17">
        <f>AJ19-AD19</f>
        <v>778356</v>
      </c>
      <c r="AH19" s="18">
        <f t="shared" si="91"/>
        <v>-29.233801679792126</v>
      </c>
      <c r="AI19" s="17">
        <v>3727111</v>
      </c>
      <c r="AJ19" s="17">
        <v>3190820</v>
      </c>
      <c r="AK19" s="18">
        <f t="shared" si="92"/>
        <v>-14.388919460676108</v>
      </c>
      <c r="AL19" s="17">
        <f>AO19-AI19</f>
        <v>735438</v>
      </c>
      <c r="AM19" s="17">
        <f>AP19-AJ19</f>
        <v>526938</v>
      </c>
      <c r="AN19" s="18">
        <f t="shared" si="93"/>
        <v>-28.350452383477599</v>
      </c>
      <c r="AO19" s="17">
        <v>4462549</v>
      </c>
      <c r="AP19" s="17">
        <v>3717758</v>
      </c>
      <c r="AQ19" s="18">
        <f t="shared" si="94"/>
        <v>-16.689811137087794</v>
      </c>
      <c r="AR19" s="17">
        <f>AU19-AO19</f>
        <v>546029</v>
      </c>
      <c r="AS19" s="17">
        <f>AV19-AP19</f>
        <v>1034431</v>
      </c>
      <c r="AT19" s="18">
        <f t="shared" si="95"/>
        <v>89.446164947283009</v>
      </c>
      <c r="AU19" s="17">
        <v>5008578</v>
      </c>
      <c r="AV19" s="17">
        <v>4752189</v>
      </c>
      <c r="AW19" s="18">
        <f t="shared" si="96"/>
        <v>-5.1189978472931834</v>
      </c>
      <c r="AX19" s="17">
        <f>BA19-AU19</f>
        <v>458667</v>
      </c>
      <c r="AY19" s="17">
        <f>BB19-AV19</f>
        <v>1022379</v>
      </c>
      <c r="AZ19" s="18">
        <f t="shared" si="97"/>
        <v>122.9022362629097</v>
      </c>
      <c r="BA19" s="17">
        <v>5467245</v>
      </c>
      <c r="BB19" s="17">
        <v>5774568</v>
      </c>
      <c r="BC19" s="18">
        <f t="shared" si="98"/>
        <v>5.6211675167291864</v>
      </c>
      <c r="BD19" s="17">
        <f>BG19-BA19</f>
        <v>690731</v>
      </c>
      <c r="BE19" s="17">
        <f>BH19-BB19</f>
        <v>1410593</v>
      </c>
      <c r="BF19" s="18">
        <f t="shared" si="99"/>
        <v>104.21741604184551</v>
      </c>
      <c r="BG19" s="17">
        <v>6157976</v>
      </c>
      <c r="BH19" s="17">
        <v>7185161</v>
      </c>
      <c r="BI19" s="18">
        <f t="shared" si="100"/>
        <v>16.680561924892203</v>
      </c>
      <c r="BJ19" s="17">
        <f>BM19-BG19</f>
        <v>652501</v>
      </c>
      <c r="BK19" s="17">
        <f>BN19-BH19</f>
        <v>724173</v>
      </c>
      <c r="BL19" s="18">
        <f t="shared" si="101"/>
        <v>10.984197725367473</v>
      </c>
      <c r="BM19" s="17">
        <v>6810477</v>
      </c>
      <c r="BN19" s="17">
        <v>7909334</v>
      </c>
      <c r="BO19" s="18">
        <f t="shared" si="102"/>
        <v>16.134802305330442</v>
      </c>
      <c r="BP19" s="17">
        <f>BS19-BM19</f>
        <v>612082</v>
      </c>
      <c r="BQ19" s="17">
        <f>BT19-BN19</f>
        <v>1999260</v>
      </c>
      <c r="BR19" s="18">
        <f t="shared" si="103"/>
        <v>226.63270607532979</v>
      </c>
      <c r="BS19" s="17">
        <v>7422559</v>
      </c>
      <c r="BT19" s="17">
        <v>9908594</v>
      </c>
      <c r="BU19" s="18">
        <f t="shared" si="104"/>
        <v>33.492963814770626</v>
      </c>
      <c r="BV19" s="17">
        <f>BY19-BS19</f>
        <v>415815</v>
      </c>
      <c r="BW19" s="17">
        <f>BZ19-BT19</f>
        <v>1781729</v>
      </c>
      <c r="BX19" s="18">
        <f t="shared" si="105"/>
        <v>328.49079518535882</v>
      </c>
      <c r="BY19" s="17">
        <v>7838374</v>
      </c>
      <c r="BZ19" s="17">
        <v>11690323</v>
      </c>
      <c r="CA19" s="18">
        <f t="shared" si="106"/>
        <v>49.142194541878204</v>
      </c>
      <c r="CB19" s="108"/>
    </row>
    <row r="20" spans="1:80" s="1" customFormat="1" ht="19.5" customHeight="1">
      <c r="A20" s="191"/>
      <c r="B20" s="121"/>
      <c r="C20" s="83" t="s">
        <v>105</v>
      </c>
      <c r="D20" s="64">
        <f t="shared" ref="D20:L20" si="107">D19/D18</f>
        <v>12.707316638805516</v>
      </c>
      <c r="E20" s="64">
        <f t="shared" si="107"/>
        <v>15.379444851414467</v>
      </c>
      <c r="F20" s="64">
        <f t="shared" si="107"/>
        <v>12.97928904928866</v>
      </c>
      <c r="G20" s="64">
        <f t="shared" si="107"/>
        <v>8.8163358803185066</v>
      </c>
      <c r="H20" s="64">
        <f>H19/H18</f>
        <v>12.459378524233987</v>
      </c>
      <c r="I20" s="64">
        <f>I19/I18</f>
        <v>11.346173659879014</v>
      </c>
      <c r="J20" s="64">
        <f>J19/J18</f>
        <v>6.6487300327076806</v>
      </c>
      <c r="K20" s="64">
        <f t="shared" si="107"/>
        <v>7.1225617512986323</v>
      </c>
      <c r="L20" s="64">
        <f t="shared" si="107"/>
        <v>4.6558363937495502</v>
      </c>
      <c r="M20" s="65"/>
      <c r="N20" s="64">
        <f>N19/N18</f>
        <v>2.6285760637692528</v>
      </c>
      <c r="O20" s="64">
        <f>O19/O18</f>
        <v>4.5069509295502259</v>
      </c>
      <c r="P20" s="65"/>
      <c r="Q20" s="64">
        <f>Q19/Q18</f>
        <v>3.3228785574047044</v>
      </c>
      <c r="R20" s="64">
        <f>R19/R18</f>
        <v>4.5538512489678888</v>
      </c>
      <c r="S20" s="65"/>
      <c r="T20" s="64">
        <f>T19/T18</f>
        <v>7.1899484239220852</v>
      </c>
      <c r="U20" s="64">
        <f>U19/U18</f>
        <v>1.5632254244632398</v>
      </c>
      <c r="V20" s="65"/>
      <c r="W20" s="64">
        <f>W19/W18</f>
        <v>3.8561764238691119</v>
      </c>
      <c r="X20" s="64">
        <f>X19/X18</f>
        <v>2.824260394647486</v>
      </c>
      <c r="Y20" s="65"/>
      <c r="Z20" s="64">
        <f>Z19/Z18</f>
        <v>6.0456489947653997</v>
      </c>
      <c r="AA20" s="64">
        <f>AA19/AA18</f>
        <v>3.6506356758443177</v>
      </c>
      <c r="AB20" s="65"/>
      <c r="AC20" s="64">
        <f>AC19/AC18</f>
        <v>4.1065795294150744</v>
      </c>
      <c r="AD20" s="64">
        <f>AD19/AD18</f>
        <v>3.0962171042077093</v>
      </c>
      <c r="AE20" s="65"/>
      <c r="AF20" s="64">
        <f>AF19/AF18</f>
        <v>9.4850682557066595</v>
      </c>
      <c r="AG20" s="64">
        <f>AG19/AG18</f>
        <v>2.2910140900621943</v>
      </c>
      <c r="AH20" s="65"/>
      <c r="AI20" s="64">
        <f>AI19/AI18</f>
        <v>4.9318806750666253</v>
      </c>
      <c r="AJ20" s="64">
        <f>AJ19/AJ18</f>
        <v>2.8517268622621343</v>
      </c>
      <c r="AK20" s="65"/>
      <c r="AL20" s="64">
        <f>AL19/AL18</f>
        <v>16.041836623404951</v>
      </c>
      <c r="AM20" s="64">
        <f>AM19/AM18</f>
        <v>3.5720735377857316</v>
      </c>
      <c r="AN20" s="65"/>
      <c r="AO20" s="64">
        <f>AO19/AO18</f>
        <v>5.5673091198071765</v>
      </c>
      <c r="AP20" s="64">
        <f>AP19/AP18</f>
        <v>2.9356345110326401</v>
      </c>
      <c r="AQ20" s="65"/>
      <c r="AR20" s="64">
        <f>AR19/AR18</f>
        <v>16.536812138465731</v>
      </c>
      <c r="AS20" s="64">
        <f>AS19/AS18</f>
        <v>2.1731195852205407</v>
      </c>
      <c r="AT20" s="65"/>
      <c r="AU20" s="64">
        <f>AU19/AU18</f>
        <v>6.0013012502066907</v>
      </c>
      <c r="AV20" s="64">
        <f>AV19/AV18</f>
        <v>2.7273248486601518</v>
      </c>
      <c r="AW20" s="65"/>
      <c r="AX20" s="64">
        <f>AX19/AX18</f>
        <v>14.561781700425424</v>
      </c>
      <c r="AY20" s="64">
        <f>AY19/AY18</f>
        <v>3.6041393459960234</v>
      </c>
      <c r="AZ20" s="65"/>
      <c r="BA20" s="64">
        <f>BA19/BA18</f>
        <v>6.312632782191022</v>
      </c>
      <c r="BB20" s="64">
        <f>BB19/BB18</f>
        <v>2.8500846945665179</v>
      </c>
      <c r="BC20" s="65"/>
      <c r="BD20" s="64">
        <f>BD19/BD18</f>
        <v>18.308664881914808</v>
      </c>
      <c r="BE20" s="64">
        <f>BE19/BE18</f>
        <v>6.8337386636694832</v>
      </c>
      <c r="BF20" s="65"/>
      <c r="BG20" s="64">
        <f>BG19/BG18</f>
        <v>6.8133749793927247</v>
      </c>
      <c r="BH20" s="64">
        <f>BH19/BH18</f>
        <v>3.2184083457259063</v>
      </c>
      <c r="BI20" s="65"/>
      <c r="BJ20" s="64">
        <f>BJ19/BJ18</f>
        <v>6.6713118692936089</v>
      </c>
      <c r="BK20" s="64">
        <f>BK19/BK18</f>
        <v>1.6570137403182812</v>
      </c>
      <c r="BL20" s="65"/>
      <c r="BM20" s="64">
        <f>BM19/BM18</f>
        <v>6.7995026027990821</v>
      </c>
      <c r="BN20" s="64">
        <f>BN19/BN18</f>
        <v>2.9627911768066215</v>
      </c>
      <c r="BO20" s="65"/>
      <c r="BP20" s="64">
        <f>BP19/BP18</f>
        <v>6.2546699366441851</v>
      </c>
      <c r="BQ20" s="64">
        <f>BQ19/BQ18</f>
        <v>3.3856152923883518</v>
      </c>
      <c r="BR20" s="65"/>
      <c r="BS20" s="64">
        <f>BS19/BS18</f>
        <v>6.7510091189059498</v>
      </c>
      <c r="BT20" s="64">
        <f>BT19/BT18</f>
        <v>3.0393798171880304</v>
      </c>
      <c r="BU20" s="65"/>
      <c r="BV20" s="64">
        <f>BV19/BV18</f>
        <v>5.2334054924862183</v>
      </c>
      <c r="BW20" s="64">
        <f>BW19/BW18</f>
        <v>3.0002963706384262</v>
      </c>
      <c r="BX20" s="65"/>
      <c r="BY20" s="64">
        <f>BY19/BY18</f>
        <v>6.6487300327076806</v>
      </c>
      <c r="BZ20" s="64">
        <f>BZ19/BZ18</f>
        <v>3.0333574472965461</v>
      </c>
      <c r="CA20" s="65"/>
      <c r="CB20" s="108"/>
    </row>
    <row r="21" spans="1:80" s="1" customFormat="1" ht="19.5" customHeight="1">
      <c r="A21" s="183" t="s">
        <v>140</v>
      </c>
      <c r="B21" s="114">
        <v>8106</v>
      </c>
      <c r="C21" s="81" t="s">
        <v>42</v>
      </c>
      <c r="D21" s="66">
        <v>325048</v>
      </c>
      <c r="E21" s="66">
        <v>369901</v>
      </c>
      <c r="F21" s="66">
        <v>543611</v>
      </c>
      <c r="G21" s="66">
        <v>219600</v>
      </c>
      <c r="H21" s="66">
        <v>212952</v>
      </c>
      <c r="I21" s="66">
        <v>444274</v>
      </c>
      <c r="J21" s="66">
        <v>435185</v>
      </c>
      <c r="K21" s="66">
        <v>40451</v>
      </c>
      <c r="L21" s="66">
        <v>40013</v>
      </c>
      <c r="M21" s="15">
        <f t="shared" si="0"/>
        <v>-1.0827915255494314</v>
      </c>
      <c r="N21" s="63">
        <f>Q21-K21</f>
        <v>20051</v>
      </c>
      <c r="O21" s="63">
        <f>R21-L21</f>
        <v>39128</v>
      </c>
      <c r="P21" s="15">
        <f t="shared" si="1"/>
        <v>95.142386913370913</v>
      </c>
      <c r="Q21" s="66">
        <v>60502</v>
      </c>
      <c r="R21" s="66">
        <v>79141</v>
      </c>
      <c r="S21" s="15">
        <f t="shared" si="2"/>
        <v>30.807246041453173</v>
      </c>
      <c r="T21" s="63">
        <f>W21-Q21</f>
        <v>20057</v>
      </c>
      <c r="U21" s="63">
        <f>X21-R21</f>
        <v>40099</v>
      </c>
      <c r="V21" s="15">
        <f t="shared" ref="V21:V22" si="108">(U21/T21-1)*100</f>
        <v>99.92521314254374</v>
      </c>
      <c r="W21" s="66">
        <v>80559</v>
      </c>
      <c r="X21" s="66">
        <v>119240</v>
      </c>
      <c r="Y21" s="15">
        <f t="shared" ref="Y21:Y22" si="109">(X21/W21-1)*100</f>
        <v>48.015740016633778</v>
      </c>
      <c r="Z21" s="63">
        <f>AC21-W21</f>
        <v>37038</v>
      </c>
      <c r="AA21" s="63">
        <f>AD21-X21</f>
        <v>60007</v>
      </c>
      <c r="AB21" s="15">
        <f t="shared" ref="AB21:AB22" si="110">(AA21/Z21-1)*100</f>
        <v>62.014687618121926</v>
      </c>
      <c r="AC21" s="66">
        <v>117597</v>
      </c>
      <c r="AD21" s="66">
        <v>179247</v>
      </c>
      <c r="AE21" s="15">
        <f t="shared" ref="AE21:AE22" si="111">(AD21/AC21-1)*100</f>
        <v>52.424806755274368</v>
      </c>
      <c r="AF21" s="63">
        <f>AI21-AC21</f>
        <v>45082</v>
      </c>
      <c r="AG21" s="63">
        <f>AJ21-AD21</f>
        <v>60057</v>
      </c>
      <c r="AH21" s="15">
        <f t="shared" ref="AH21:AH22" si="112">(AG21/AF21-1)*100</f>
        <v>33.217248569273771</v>
      </c>
      <c r="AI21" s="66">
        <v>162679</v>
      </c>
      <c r="AJ21" s="66">
        <v>239304</v>
      </c>
      <c r="AK21" s="15">
        <f t="shared" ref="AK21:AK22" si="113">(AJ21/AI21-1)*100</f>
        <v>47.101961531605198</v>
      </c>
      <c r="AL21" s="63">
        <f>AO21-AI21</f>
        <v>40037</v>
      </c>
      <c r="AM21" s="63">
        <f>AP21-AJ21</f>
        <v>40379</v>
      </c>
      <c r="AN21" s="15">
        <f t="shared" ref="AN21:AN22" si="114">(AM21/AL21-1)*100</f>
        <v>0.85420985588331444</v>
      </c>
      <c r="AO21" s="66">
        <v>202716</v>
      </c>
      <c r="AP21" s="66">
        <v>279683</v>
      </c>
      <c r="AQ21" s="15">
        <f t="shared" ref="AQ21:AQ22" si="115">(AP21/AO21-1)*100</f>
        <v>37.967895972690854</v>
      </c>
      <c r="AR21" s="63">
        <f>AU21-AO21</f>
        <v>40092</v>
      </c>
      <c r="AS21" s="63">
        <f>AV21-AP21</f>
        <v>50047</v>
      </c>
      <c r="AT21" s="15">
        <f t="shared" ref="AT21:AT22" si="116">(AS21/AR21-1)*100</f>
        <v>24.830390102763644</v>
      </c>
      <c r="AU21" s="66">
        <v>242808</v>
      </c>
      <c r="AV21" s="66">
        <v>329730</v>
      </c>
      <c r="AW21" s="15">
        <f t="shared" ref="AW21:AW22" si="117">(AV21/AU21-1)*100</f>
        <v>35.798655727982599</v>
      </c>
      <c r="AX21" s="63">
        <f>BA21-AU21</f>
        <v>30</v>
      </c>
      <c r="AY21" s="63">
        <f>BB21-AV21</f>
        <v>39118</v>
      </c>
      <c r="AZ21" s="15">
        <f t="shared" ref="AZ21:AZ22" si="118">(AY21/AX21-1)*100</f>
        <v>130293.33333333334</v>
      </c>
      <c r="BA21" s="66">
        <v>242838</v>
      </c>
      <c r="BB21" s="66">
        <v>368848</v>
      </c>
      <c r="BC21" s="15">
        <f t="shared" ref="BC21:BC22" si="119">(BB21/BA21-1)*100</f>
        <v>51.890560785379549</v>
      </c>
      <c r="BD21" s="63">
        <f>BG21-BA21</f>
        <v>67093</v>
      </c>
      <c r="BE21" s="63">
        <f>BH21-BB21</f>
        <v>50094</v>
      </c>
      <c r="BF21" s="15">
        <f t="shared" ref="BF21:BF22" si="120">(BE21/BD21-1)*100</f>
        <v>-25.336473253543591</v>
      </c>
      <c r="BG21" s="66">
        <v>309931</v>
      </c>
      <c r="BH21" s="66">
        <v>418942</v>
      </c>
      <c r="BI21" s="15">
        <f t="shared" ref="BI21:BI22" si="121">(BH21/BG21-1)*100</f>
        <v>35.17266746469376</v>
      </c>
      <c r="BJ21" s="63">
        <f>BM21-BG21</f>
        <v>40092</v>
      </c>
      <c r="BK21" s="63">
        <f>BN21-BH21</f>
        <v>40148</v>
      </c>
      <c r="BL21" s="15">
        <f t="shared" ref="BL21:BL22" si="122">(BK21/BJ21-1)*100</f>
        <v>0.13967873890052829</v>
      </c>
      <c r="BM21" s="66">
        <v>350023</v>
      </c>
      <c r="BN21" s="66">
        <v>459090</v>
      </c>
      <c r="BO21" s="15">
        <f t="shared" ref="BO21:BO22" si="123">(BN21/BM21-1)*100</f>
        <v>31.159952345988696</v>
      </c>
      <c r="BP21" s="63">
        <f>BS21-BM21</f>
        <v>41147</v>
      </c>
      <c r="BQ21" s="63">
        <f>BT21-BN21</f>
        <v>69996</v>
      </c>
      <c r="BR21" s="15">
        <f t="shared" ref="BR21:BR22" si="124">(BQ21/BP21-1)*100</f>
        <v>70.112037329574449</v>
      </c>
      <c r="BS21" s="66">
        <v>391170</v>
      </c>
      <c r="BT21" s="66">
        <v>529086</v>
      </c>
      <c r="BU21" s="15">
        <f t="shared" ref="BU21:BU22" si="125">(BT21/BS21-1)*100</f>
        <v>35.257305008052775</v>
      </c>
      <c r="BV21" s="63">
        <f>BY21-BS21</f>
        <v>44015</v>
      </c>
      <c r="BW21" s="63">
        <f>BZ21-BT21</f>
        <v>50301</v>
      </c>
      <c r="BX21" s="15">
        <f t="shared" ref="BX21:BX22" si="126">(BW21/BV21-1)*100</f>
        <v>14.281494944905138</v>
      </c>
      <c r="BY21" s="66">
        <v>435185</v>
      </c>
      <c r="BZ21" s="66">
        <v>579387</v>
      </c>
      <c r="CA21" s="15">
        <f t="shared" ref="CA21:CA22" si="127">(BZ21/BY21-1)*100</f>
        <v>33.135792823741617</v>
      </c>
      <c r="CB21" s="108"/>
    </row>
    <row r="22" spans="1:80" s="1" customFormat="1" ht="19.5" customHeight="1">
      <c r="A22" s="190"/>
      <c r="B22" s="120"/>
      <c r="C22" s="82" t="s">
        <v>104</v>
      </c>
      <c r="D22" s="17">
        <v>4616805</v>
      </c>
      <c r="E22" s="17">
        <v>6606856</v>
      </c>
      <c r="F22" s="17">
        <v>12988537</v>
      </c>
      <c r="G22" s="17">
        <v>4153981</v>
      </c>
      <c r="H22" s="17">
        <v>3808847</v>
      </c>
      <c r="I22" s="17">
        <v>10520731</v>
      </c>
      <c r="J22" s="17">
        <v>5930097</v>
      </c>
      <c r="K22" s="17">
        <v>932989</v>
      </c>
      <c r="L22" s="17">
        <v>358447</v>
      </c>
      <c r="M22" s="18">
        <f t="shared" si="0"/>
        <v>-61.580790341579593</v>
      </c>
      <c r="N22" s="17">
        <f>Q22-K22</f>
        <v>382496</v>
      </c>
      <c r="O22" s="17">
        <f>R22-L22</f>
        <v>378538</v>
      </c>
      <c r="P22" s="18">
        <f t="shared" si="1"/>
        <v>-1.0347820630803972</v>
      </c>
      <c r="Q22" s="17">
        <v>1315485</v>
      </c>
      <c r="R22" s="17">
        <v>736985</v>
      </c>
      <c r="S22" s="18">
        <f t="shared" si="2"/>
        <v>-43.97617608714657</v>
      </c>
      <c r="T22" s="17">
        <f>W22-Q22</f>
        <v>333643</v>
      </c>
      <c r="U22" s="17">
        <f>X22-R22</f>
        <v>391588</v>
      </c>
      <c r="V22" s="18">
        <f t="shared" si="108"/>
        <v>17.367365717248685</v>
      </c>
      <c r="W22" s="17">
        <v>1649128</v>
      </c>
      <c r="X22" s="17">
        <v>1128573</v>
      </c>
      <c r="Y22" s="18">
        <f t="shared" si="109"/>
        <v>-31.565469751286745</v>
      </c>
      <c r="Z22" s="17">
        <f>AC22-W22</f>
        <v>410647</v>
      </c>
      <c r="AA22" s="17">
        <f>AD22-X22</f>
        <v>552289</v>
      </c>
      <c r="AB22" s="18">
        <f t="shared" si="110"/>
        <v>34.492398580776197</v>
      </c>
      <c r="AC22" s="17">
        <v>2059775</v>
      </c>
      <c r="AD22" s="17">
        <v>1680862</v>
      </c>
      <c r="AE22" s="18">
        <f t="shared" si="111"/>
        <v>-18.395844206284661</v>
      </c>
      <c r="AF22" s="17">
        <f>AI22-AC22</f>
        <v>693304</v>
      </c>
      <c r="AG22" s="17">
        <f>AJ22-AD22</f>
        <v>555282</v>
      </c>
      <c r="AH22" s="18">
        <f t="shared" si="112"/>
        <v>-19.907861486447509</v>
      </c>
      <c r="AI22" s="17">
        <v>2753079</v>
      </c>
      <c r="AJ22" s="17">
        <v>2236144</v>
      </c>
      <c r="AK22" s="18">
        <f t="shared" si="113"/>
        <v>-18.776613384505126</v>
      </c>
      <c r="AL22" s="17">
        <f>AO22-AI22</f>
        <v>562706</v>
      </c>
      <c r="AM22" s="17">
        <f>AP22-AJ22</f>
        <v>395180</v>
      </c>
      <c r="AN22" s="18">
        <f t="shared" si="114"/>
        <v>-29.771497016203842</v>
      </c>
      <c r="AO22" s="17">
        <v>3315785</v>
      </c>
      <c r="AP22" s="17">
        <v>2631324</v>
      </c>
      <c r="AQ22" s="18">
        <f t="shared" si="115"/>
        <v>-20.642502454169975</v>
      </c>
      <c r="AR22" s="17">
        <f>AU22-AO22</f>
        <v>541351</v>
      </c>
      <c r="AS22" s="17">
        <f>AV22-AP22</f>
        <v>458130</v>
      </c>
      <c r="AT22" s="18">
        <f t="shared" si="116"/>
        <v>-15.372835738735125</v>
      </c>
      <c r="AU22" s="17">
        <v>3857136</v>
      </c>
      <c r="AV22" s="17">
        <v>3089454</v>
      </c>
      <c r="AW22" s="18">
        <f t="shared" si="117"/>
        <v>-19.902902049603643</v>
      </c>
      <c r="AX22" s="17">
        <f>BA22-AU22</f>
        <v>4479</v>
      </c>
      <c r="AY22" s="17">
        <f>BB22-AV22</f>
        <v>386777</v>
      </c>
      <c r="AZ22" s="18">
        <f t="shared" si="118"/>
        <v>8535.3427104264338</v>
      </c>
      <c r="BA22" s="17">
        <v>3861615</v>
      </c>
      <c r="BB22" s="17">
        <v>3476231</v>
      </c>
      <c r="BC22" s="18">
        <f t="shared" si="119"/>
        <v>-9.9798659369201737</v>
      </c>
      <c r="BD22" s="17">
        <f>BG22-BA22</f>
        <v>704585</v>
      </c>
      <c r="BE22" s="17">
        <f>BH22-BB22</f>
        <v>474251</v>
      </c>
      <c r="BF22" s="18">
        <f t="shared" si="120"/>
        <v>-32.690732842737212</v>
      </c>
      <c r="BG22" s="17">
        <v>4566200</v>
      </c>
      <c r="BH22" s="17">
        <v>3950482</v>
      </c>
      <c r="BI22" s="18">
        <f t="shared" si="121"/>
        <v>-13.484253865358509</v>
      </c>
      <c r="BJ22" s="17">
        <f>BM22-BG22</f>
        <v>441316</v>
      </c>
      <c r="BK22" s="17">
        <f>BN22-BH22</f>
        <v>424812</v>
      </c>
      <c r="BL22" s="18">
        <f t="shared" si="122"/>
        <v>-3.7397239166492957</v>
      </c>
      <c r="BM22" s="17">
        <v>5007516</v>
      </c>
      <c r="BN22" s="17">
        <v>4375294</v>
      </c>
      <c r="BO22" s="18">
        <f t="shared" si="123"/>
        <v>-12.625461406413873</v>
      </c>
      <c r="BP22" s="17">
        <f>BS22-BM22</f>
        <v>496715</v>
      </c>
      <c r="BQ22" s="17">
        <f>BT22-BN22</f>
        <v>662592</v>
      </c>
      <c r="BR22" s="18">
        <f t="shared" si="124"/>
        <v>33.394803861369191</v>
      </c>
      <c r="BS22" s="17">
        <v>5504231</v>
      </c>
      <c r="BT22" s="17">
        <v>5037886</v>
      </c>
      <c r="BU22" s="18">
        <f t="shared" si="125"/>
        <v>-8.4724823503955378</v>
      </c>
      <c r="BV22" s="17">
        <f>BY22-BS22</f>
        <v>425866</v>
      </c>
      <c r="BW22" s="17">
        <f>BZ22-BT22</f>
        <v>478565</v>
      </c>
      <c r="BX22" s="18">
        <f t="shared" si="126"/>
        <v>12.374549740998342</v>
      </c>
      <c r="BY22" s="17">
        <v>5930097</v>
      </c>
      <c r="BZ22" s="17">
        <v>5516451</v>
      </c>
      <c r="CA22" s="18">
        <f t="shared" si="127"/>
        <v>-6.9753665074955729</v>
      </c>
      <c r="CB22" s="108"/>
    </row>
    <row r="23" spans="1:80" s="1" customFormat="1" ht="19.5" customHeight="1">
      <c r="A23" s="191"/>
      <c r="B23" s="121"/>
      <c r="C23" s="83" t="s">
        <v>105</v>
      </c>
      <c r="D23" s="64">
        <f t="shared" ref="D23:L23" si="128">D22/D21</f>
        <v>14.2034561049445</v>
      </c>
      <c r="E23" s="64">
        <f t="shared" si="128"/>
        <v>17.861146631125624</v>
      </c>
      <c r="F23" s="64">
        <f t="shared" si="128"/>
        <v>23.893072435988234</v>
      </c>
      <c r="G23" s="64">
        <f t="shared" si="128"/>
        <v>18.916124772313296</v>
      </c>
      <c r="H23" s="64">
        <f>H22/H21</f>
        <v>17.885941432811151</v>
      </c>
      <c r="I23" s="64">
        <f>I22/I21</f>
        <v>23.680726308539324</v>
      </c>
      <c r="J23" s="64">
        <f>J22/J21</f>
        <v>13.626611670898583</v>
      </c>
      <c r="K23" s="64">
        <f t="shared" si="128"/>
        <v>23.064670836320488</v>
      </c>
      <c r="L23" s="64">
        <f t="shared" si="128"/>
        <v>8.9582635643415891</v>
      </c>
      <c r="M23" s="65"/>
      <c r="N23" s="64">
        <f>N22/N21</f>
        <v>19.076155802703106</v>
      </c>
      <c r="O23" s="64">
        <f>O22/O21</f>
        <v>9.6743508484972391</v>
      </c>
      <c r="P23" s="65"/>
      <c r="Q23" s="64">
        <f>Q22/Q21</f>
        <v>21.742834947605036</v>
      </c>
      <c r="R23" s="64">
        <f>R22/R21</f>
        <v>9.3123033572989975</v>
      </c>
      <c r="S23" s="65"/>
      <c r="T23" s="64">
        <f>T22/T21</f>
        <v>16.634740988183676</v>
      </c>
      <c r="U23" s="64">
        <f>U22/U21</f>
        <v>9.7655303124766206</v>
      </c>
      <c r="V23" s="65"/>
      <c r="W23" s="64">
        <f>W22/W21</f>
        <v>20.471058478878835</v>
      </c>
      <c r="X23" s="64">
        <f>X22/X21</f>
        <v>9.4647182153639715</v>
      </c>
      <c r="Y23" s="65"/>
      <c r="Z23" s="64">
        <f>Z22/Z21</f>
        <v>11.087180733300935</v>
      </c>
      <c r="AA23" s="64">
        <f>AA22/AA21</f>
        <v>9.2037428966620567</v>
      </c>
      <c r="AB23" s="65"/>
      <c r="AC23" s="64">
        <f>AC22/AC21</f>
        <v>17.515540362424211</v>
      </c>
      <c r="AD23" s="64">
        <f>AD22/AD21</f>
        <v>9.3773508064291171</v>
      </c>
      <c r="AE23" s="65"/>
      <c r="AF23" s="64">
        <f>AF22/AF21</f>
        <v>15.378732088194845</v>
      </c>
      <c r="AG23" s="64">
        <f>AG22/AG21</f>
        <v>9.2459163794395316</v>
      </c>
      <c r="AH23" s="65"/>
      <c r="AI23" s="64">
        <f>AI22/AI21</f>
        <v>16.923382858266894</v>
      </c>
      <c r="AJ23" s="64">
        <f>AJ22/AJ21</f>
        <v>9.344365326112392</v>
      </c>
      <c r="AK23" s="65"/>
      <c r="AL23" s="64">
        <f>AL22/AL21</f>
        <v>14.054649449259434</v>
      </c>
      <c r="AM23" s="64">
        <f>AM22/AM21</f>
        <v>9.7867703509249857</v>
      </c>
      <c r="AN23" s="65"/>
      <c r="AO23" s="64">
        <f>AO22/AO21</f>
        <v>16.356799660608932</v>
      </c>
      <c r="AP23" s="64">
        <f>AP22/AP21</f>
        <v>9.4082371828105398</v>
      </c>
      <c r="AQ23" s="65"/>
      <c r="AR23" s="64">
        <f>AR22/AR21</f>
        <v>13.502718746882172</v>
      </c>
      <c r="AS23" s="64">
        <f>AS22/AS21</f>
        <v>9.1539952444701989</v>
      </c>
      <c r="AT23" s="65"/>
      <c r="AU23" s="64">
        <f>AU22/AU21</f>
        <v>15.88553919145992</v>
      </c>
      <c r="AV23" s="64">
        <f>AV22/AV21</f>
        <v>9.3696478937312353</v>
      </c>
      <c r="AW23" s="65"/>
      <c r="AX23" s="64">
        <f>AX22/AX21</f>
        <v>149.30000000000001</v>
      </c>
      <c r="AY23" s="64">
        <f>AY22/AY21</f>
        <v>9.8874431208139484</v>
      </c>
      <c r="AZ23" s="65"/>
      <c r="BA23" s="64">
        <f>BA22/BA21</f>
        <v>15.902021100486744</v>
      </c>
      <c r="BB23" s="64">
        <f>BB22/BB21</f>
        <v>9.4245624213768266</v>
      </c>
      <c r="BC23" s="65"/>
      <c r="BD23" s="64">
        <f>BD22/BD21</f>
        <v>10.501617158272845</v>
      </c>
      <c r="BE23" s="64">
        <f>BE22/BE21</f>
        <v>9.4672216233481059</v>
      </c>
      <c r="BF23" s="65"/>
      <c r="BG23" s="64">
        <f>BG22/BG21</f>
        <v>14.732956690360112</v>
      </c>
      <c r="BH23" s="64">
        <f>BH22/BH21</f>
        <v>9.4296632946804095</v>
      </c>
      <c r="BI23" s="65"/>
      <c r="BJ23" s="64">
        <f>BJ22/BJ21</f>
        <v>11.007582560111743</v>
      </c>
      <c r="BK23" s="64">
        <f>BK22/BK21</f>
        <v>10.581149745940023</v>
      </c>
      <c r="BL23" s="65"/>
      <c r="BM23" s="64">
        <f>BM22/BM21</f>
        <v>14.306248446530656</v>
      </c>
      <c r="BN23" s="64">
        <f>BN22/BN21</f>
        <v>9.5303622383410662</v>
      </c>
      <c r="BO23" s="65"/>
      <c r="BP23" s="64">
        <f>BP22/BP21</f>
        <v>12.07171847279267</v>
      </c>
      <c r="BQ23" s="64">
        <f>BQ22/BQ21</f>
        <v>9.4661409223384201</v>
      </c>
      <c r="BR23" s="65"/>
      <c r="BS23" s="64">
        <f>BS22/BS21</f>
        <v>14.071199222844287</v>
      </c>
      <c r="BT23" s="64">
        <f>BT22/BT21</f>
        <v>9.5218660104406467</v>
      </c>
      <c r="BU23" s="65"/>
      <c r="BV23" s="64">
        <f>BV22/BV21</f>
        <v>9.6754742701351812</v>
      </c>
      <c r="BW23" s="64">
        <f>BW22/BW21</f>
        <v>9.5140255660921262</v>
      </c>
      <c r="BX23" s="65"/>
      <c r="BY23" s="64">
        <f>BY22/BY21</f>
        <v>13.626611670898583</v>
      </c>
      <c r="BZ23" s="64">
        <f>BZ22/BZ21</f>
        <v>9.5211853217279643</v>
      </c>
      <c r="CA23" s="65"/>
      <c r="CB23" s="108"/>
    </row>
    <row r="24" spans="1:80" s="1" customFormat="1" ht="19.5" customHeight="1">
      <c r="A24" s="178" t="s">
        <v>141</v>
      </c>
      <c r="B24" s="114">
        <v>8107</v>
      </c>
      <c r="C24" s="81" t="s">
        <v>42</v>
      </c>
      <c r="D24" s="66">
        <v>2901229</v>
      </c>
      <c r="E24" s="66">
        <v>3979198</v>
      </c>
      <c r="F24" s="66">
        <v>4333486</v>
      </c>
      <c r="G24" s="66">
        <v>5271010</v>
      </c>
      <c r="H24" s="66">
        <v>5372101</v>
      </c>
      <c r="I24" s="66">
        <v>5561594</v>
      </c>
      <c r="J24" s="66">
        <v>6274421</v>
      </c>
      <c r="K24" s="66">
        <v>470000</v>
      </c>
      <c r="L24" s="66">
        <v>540000</v>
      </c>
      <c r="M24" s="15">
        <f t="shared" si="0"/>
        <v>14.893617021276606</v>
      </c>
      <c r="N24" s="63">
        <f>Q24-K24</f>
        <v>403000</v>
      </c>
      <c r="O24" s="63">
        <f>R24-L24</f>
        <v>340000</v>
      </c>
      <c r="P24" s="15">
        <f t="shared" si="1"/>
        <v>-15.632754342431765</v>
      </c>
      <c r="Q24" s="66">
        <v>873000</v>
      </c>
      <c r="R24" s="66">
        <v>880000</v>
      </c>
      <c r="S24" s="15">
        <f t="shared" si="2"/>
        <v>0.80183276059564434</v>
      </c>
      <c r="T24" s="63">
        <f>W24-Q24</f>
        <v>423500</v>
      </c>
      <c r="U24" s="63">
        <f>X24-R24</f>
        <v>800950</v>
      </c>
      <c r="V24" s="15">
        <f t="shared" ref="V24:V25" si="129">(U24/T24-1)*100</f>
        <v>89.126328217237315</v>
      </c>
      <c r="W24" s="66">
        <v>1296500</v>
      </c>
      <c r="X24" s="66">
        <v>1680950</v>
      </c>
      <c r="Y24" s="15">
        <f t="shared" ref="Y24:Y25" si="130">(X24/W24-1)*100</f>
        <v>29.652911685306591</v>
      </c>
      <c r="Z24" s="63">
        <f>AC24-W24</f>
        <v>550000</v>
      </c>
      <c r="AA24" s="63">
        <f>AD24-X24</f>
        <v>340000</v>
      </c>
      <c r="AB24" s="15">
        <f t="shared" ref="AB24:AB25" si="131">(AA24/Z24-1)*100</f>
        <v>-38.181818181818187</v>
      </c>
      <c r="AC24" s="66">
        <v>1846500</v>
      </c>
      <c r="AD24" s="66">
        <v>2020950</v>
      </c>
      <c r="AE24" s="15">
        <f t="shared" ref="AE24:AE25" si="132">(AD24/AC24-1)*100</f>
        <v>9.4476035743298112</v>
      </c>
      <c r="AF24" s="63">
        <f>AI24-AC24</f>
        <v>502920</v>
      </c>
      <c r="AG24" s="63">
        <f>AJ24-AD24</f>
        <v>700000</v>
      </c>
      <c r="AH24" s="15">
        <f t="shared" ref="AH24:AH25" si="133">(AG24/AF24-1)*100</f>
        <v>39.187147061162818</v>
      </c>
      <c r="AI24" s="66">
        <v>2349420</v>
      </c>
      <c r="AJ24" s="66">
        <v>2720950</v>
      </c>
      <c r="AK24" s="15">
        <f t="shared" ref="AK24:AK25" si="134">(AJ24/AI24-1)*100</f>
        <v>15.813690187365381</v>
      </c>
      <c r="AL24" s="63">
        <f>AO24-AI24</f>
        <v>700000</v>
      </c>
      <c r="AM24" s="63">
        <f>AP24-AJ24</f>
        <v>500004</v>
      </c>
      <c r="AN24" s="15">
        <f t="shared" ref="AN24:AN25" si="135">(AM24/AL24-1)*100</f>
        <v>-28.570857142857143</v>
      </c>
      <c r="AO24" s="66">
        <v>3049420</v>
      </c>
      <c r="AP24" s="66">
        <v>3220954</v>
      </c>
      <c r="AQ24" s="15">
        <f t="shared" ref="AQ24:AQ25" si="136">(AP24/AO24-1)*100</f>
        <v>5.6251352716254255</v>
      </c>
      <c r="AR24" s="63">
        <f>AU24-AO24</f>
        <v>700000</v>
      </c>
      <c r="AS24" s="63">
        <f>AV24-AP24</f>
        <v>490001</v>
      </c>
      <c r="AT24" s="15">
        <f t="shared" ref="AT24:AT25" si="137">(AS24/AR24-1)*100</f>
        <v>-29.999857142857145</v>
      </c>
      <c r="AU24" s="66">
        <v>3749420</v>
      </c>
      <c r="AV24" s="66">
        <v>3710955</v>
      </c>
      <c r="AW24" s="15">
        <f t="shared" ref="AW24:AW25" si="138">(AV24/AU24-1)*100</f>
        <v>-1.0258920046300468</v>
      </c>
      <c r="AX24" s="63">
        <f>BA24-AU24</f>
        <v>620000</v>
      </c>
      <c r="AY24" s="63">
        <f>BB24-AV24</f>
        <v>490000</v>
      </c>
      <c r="AZ24" s="15">
        <f t="shared" ref="AZ24:AZ25" si="139">(AY24/AX24-1)*100</f>
        <v>-20.967741935483875</v>
      </c>
      <c r="BA24" s="66">
        <v>4369420</v>
      </c>
      <c r="BB24" s="66">
        <v>4200955</v>
      </c>
      <c r="BC24" s="15">
        <f t="shared" ref="BC24:BC25" si="140">(BB24/BA24-1)*100</f>
        <v>-3.8555460450128365</v>
      </c>
      <c r="BD24" s="63">
        <f>BG24-BA24</f>
        <v>501480</v>
      </c>
      <c r="BE24" s="63">
        <f>BH24-BB24</f>
        <v>518000</v>
      </c>
      <c r="BF24" s="15">
        <f t="shared" ref="BF24:BF25" si="141">(BE24/BD24-1)*100</f>
        <v>3.2942490228922372</v>
      </c>
      <c r="BG24" s="66">
        <v>4870900</v>
      </c>
      <c r="BH24" s="66">
        <v>4718955</v>
      </c>
      <c r="BI24" s="15">
        <f t="shared" ref="BI24:BI25" si="142">(BH24/BG24-1)*100</f>
        <v>-3.1194440452483096</v>
      </c>
      <c r="BJ24" s="63">
        <f>BM24-BG24</f>
        <v>500000</v>
      </c>
      <c r="BK24" s="63">
        <f>BN24-BH24</f>
        <v>600000</v>
      </c>
      <c r="BL24" s="15">
        <f t="shared" ref="BL24:BL25" si="143">(BK24/BJ24-1)*100</f>
        <v>19.999999999999996</v>
      </c>
      <c r="BM24" s="66">
        <v>5370900</v>
      </c>
      <c r="BN24" s="66">
        <v>5318955</v>
      </c>
      <c r="BO24" s="15">
        <f t="shared" ref="BO24:BO25" si="144">(BN24/BM24-1)*100</f>
        <v>-0.96715634251243188</v>
      </c>
      <c r="BP24" s="63">
        <f>BS24-BM24</f>
        <v>500000</v>
      </c>
      <c r="BQ24" s="63">
        <f>BT24-BN24</f>
        <v>640032</v>
      </c>
      <c r="BR24" s="15">
        <f t="shared" ref="BR24:BR25" si="145">(BQ24/BP24-1)*100</f>
        <v>28.00640000000001</v>
      </c>
      <c r="BS24" s="66">
        <v>5870900</v>
      </c>
      <c r="BT24" s="66">
        <v>5958987</v>
      </c>
      <c r="BU24" s="15">
        <f t="shared" ref="BU24:BU25" si="146">(BT24/BS24-1)*100</f>
        <v>1.5004002793438831</v>
      </c>
      <c r="BV24" s="63">
        <f>BY24-BS24</f>
        <v>403521</v>
      </c>
      <c r="BW24" s="63">
        <f>BZ24-BT24</f>
        <v>540000</v>
      </c>
      <c r="BX24" s="15">
        <f t="shared" ref="BX24:BX25" si="147">(BW24/BV24-1)*100</f>
        <v>33.822031567130331</v>
      </c>
      <c r="BY24" s="66">
        <v>6274421</v>
      </c>
      <c r="BZ24" s="66">
        <v>6498987</v>
      </c>
      <c r="CA24" s="15">
        <f t="shared" ref="CA24:CA25" si="148">(BZ24/BY24-1)*100</f>
        <v>3.5790712800432001</v>
      </c>
      <c r="CB24" s="108"/>
    </row>
    <row r="25" spans="1:80" s="1" customFormat="1" ht="19.5" customHeight="1">
      <c r="A25" s="190"/>
      <c r="B25" s="120"/>
      <c r="C25" s="82" t="s">
        <v>104</v>
      </c>
      <c r="D25" s="17">
        <v>7779133</v>
      </c>
      <c r="E25" s="17">
        <v>15471513</v>
      </c>
      <c r="F25" s="17">
        <v>12508905</v>
      </c>
      <c r="G25" s="17">
        <v>9945682</v>
      </c>
      <c r="H25" s="17">
        <v>10610546</v>
      </c>
      <c r="I25" s="17">
        <v>10146388</v>
      </c>
      <c r="J25" s="17">
        <v>7038344</v>
      </c>
      <c r="K25" s="17">
        <v>815453</v>
      </c>
      <c r="L25" s="17">
        <v>510344</v>
      </c>
      <c r="M25" s="18">
        <f t="shared" si="0"/>
        <v>-37.415890308822206</v>
      </c>
      <c r="N25" s="17">
        <f>Q25-K25</f>
        <v>701782</v>
      </c>
      <c r="O25" s="17">
        <f>R25-L25</f>
        <v>361172</v>
      </c>
      <c r="P25" s="18">
        <f t="shared" si="1"/>
        <v>-48.535015147153956</v>
      </c>
      <c r="Q25" s="17">
        <v>1517235</v>
      </c>
      <c r="R25" s="17">
        <v>871516</v>
      </c>
      <c r="S25" s="18">
        <f t="shared" si="2"/>
        <v>-42.558931213688055</v>
      </c>
      <c r="T25" s="17">
        <f>W25-Q25</f>
        <v>684242</v>
      </c>
      <c r="U25" s="17">
        <f>X25-R25</f>
        <v>842329</v>
      </c>
      <c r="V25" s="18">
        <f t="shared" si="129"/>
        <v>23.103960294749527</v>
      </c>
      <c r="W25" s="17">
        <v>2201477</v>
      </c>
      <c r="X25" s="17">
        <v>1713845</v>
      </c>
      <c r="Y25" s="18">
        <f t="shared" si="130"/>
        <v>-22.150220056807314</v>
      </c>
      <c r="Z25" s="17">
        <f>AC25-W25</f>
        <v>742037</v>
      </c>
      <c r="AA25" s="17">
        <f>AD25-X25</f>
        <v>421388</v>
      </c>
      <c r="AB25" s="18">
        <f t="shared" si="131"/>
        <v>-43.211996167307021</v>
      </c>
      <c r="AC25" s="17">
        <v>2943514</v>
      </c>
      <c r="AD25" s="17">
        <v>2135233</v>
      </c>
      <c r="AE25" s="18">
        <f t="shared" si="132"/>
        <v>-27.459730104901826</v>
      </c>
      <c r="AF25" s="17">
        <f>AI25-AC25</f>
        <v>576690</v>
      </c>
      <c r="AG25" s="17">
        <f>AJ25-AD25</f>
        <v>918239</v>
      </c>
      <c r="AH25" s="18">
        <f t="shared" si="133"/>
        <v>59.225753871230637</v>
      </c>
      <c r="AI25" s="17">
        <v>3520204</v>
      </c>
      <c r="AJ25" s="17">
        <v>3053472</v>
      </c>
      <c r="AK25" s="18">
        <f t="shared" si="134"/>
        <v>-13.258663418370077</v>
      </c>
      <c r="AL25" s="17">
        <f>AO25-AI25</f>
        <v>756177</v>
      </c>
      <c r="AM25" s="17">
        <f>AP25-AJ25</f>
        <v>683034</v>
      </c>
      <c r="AN25" s="18">
        <f t="shared" si="135"/>
        <v>-9.6727353516438583</v>
      </c>
      <c r="AO25" s="17">
        <v>4276381</v>
      </c>
      <c r="AP25" s="17">
        <v>3736506</v>
      </c>
      <c r="AQ25" s="18">
        <f t="shared" si="136"/>
        <v>-12.624576715685532</v>
      </c>
      <c r="AR25" s="17">
        <f>AU25-AO25</f>
        <v>653400</v>
      </c>
      <c r="AS25" s="17">
        <f>AV25-AP25</f>
        <v>763050</v>
      </c>
      <c r="AT25" s="18">
        <f t="shared" si="137"/>
        <v>16.781450872359962</v>
      </c>
      <c r="AU25" s="17">
        <v>4929781</v>
      </c>
      <c r="AV25" s="17">
        <v>4499556</v>
      </c>
      <c r="AW25" s="18">
        <f t="shared" si="138"/>
        <v>-8.7270611006858072</v>
      </c>
      <c r="AX25" s="17">
        <f>BA25-AU25</f>
        <v>537588</v>
      </c>
      <c r="AY25" s="17">
        <f>BB25-AV25</f>
        <v>752633</v>
      </c>
      <c r="AZ25" s="18">
        <f t="shared" si="139"/>
        <v>40.001822957357682</v>
      </c>
      <c r="BA25" s="17">
        <v>5467369</v>
      </c>
      <c r="BB25" s="17">
        <v>5252189</v>
      </c>
      <c r="BC25" s="18">
        <f t="shared" si="140"/>
        <v>-3.9357138689559812</v>
      </c>
      <c r="BD25" s="17">
        <f>BG25-BA25</f>
        <v>410593</v>
      </c>
      <c r="BE25" s="17">
        <f>BH25-BB25</f>
        <v>603954</v>
      </c>
      <c r="BF25" s="18">
        <f t="shared" si="141"/>
        <v>47.09310679919043</v>
      </c>
      <c r="BG25" s="17">
        <v>5877962</v>
      </c>
      <c r="BH25" s="17">
        <v>5856143</v>
      </c>
      <c r="BI25" s="18">
        <f t="shared" si="142"/>
        <v>-0.37120008601621013</v>
      </c>
      <c r="BJ25" s="17">
        <f>BM25-BG25</f>
        <v>399890</v>
      </c>
      <c r="BK25" s="17">
        <f>BN25-BH25</f>
        <v>662441</v>
      </c>
      <c r="BL25" s="18">
        <f t="shared" si="143"/>
        <v>65.655805346470288</v>
      </c>
      <c r="BM25" s="17">
        <v>6277852</v>
      </c>
      <c r="BN25" s="17">
        <v>6518584</v>
      </c>
      <c r="BO25" s="18">
        <f t="shared" si="144"/>
        <v>3.8346236897588648</v>
      </c>
      <c r="BP25" s="17">
        <f>BS25-BM25</f>
        <v>408572</v>
      </c>
      <c r="BQ25" s="17">
        <f>BT25-BN25</f>
        <v>734800</v>
      </c>
      <c r="BR25" s="18">
        <f t="shared" si="145"/>
        <v>79.845902313423352</v>
      </c>
      <c r="BS25" s="17">
        <v>6686424</v>
      </c>
      <c r="BT25" s="17">
        <v>7253384</v>
      </c>
      <c r="BU25" s="18">
        <f t="shared" si="146"/>
        <v>8.4792708329594504</v>
      </c>
      <c r="BV25" s="17">
        <f>BY25-BS25</f>
        <v>351920</v>
      </c>
      <c r="BW25" s="17">
        <f>BZ25-BT25</f>
        <v>632783</v>
      </c>
      <c r="BX25" s="18">
        <f t="shared" si="147"/>
        <v>79.808763355308017</v>
      </c>
      <c r="BY25" s="17">
        <v>7038344</v>
      </c>
      <c r="BZ25" s="17">
        <v>7886167</v>
      </c>
      <c r="CA25" s="18">
        <f t="shared" si="148"/>
        <v>12.045773835436279</v>
      </c>
      <c r="CB25" s="108"/>
    </row>
    <row r="26" spans="1:80" s="1" customFormat="1" ht="19.5" customHeight="1">
      <c r="A26" s="191"/>
      <c r="B26" s="121"/>
      <c r="C26" s="83" t="s">
        <v>105</v>
      </c>
      <c r="D26" s="64">
        <f t="shared" ref="D26:L26" si="149">D25/D24</f>
        <v>2.6813233288375375</v>
      </c>
      <c r="E26" s="64">
        <f t="shared" si="149"/>
        <v>3.8880983052363818</v>
      </c>
      <c r="F26" s="64">
        <f t="shared" si="149"/>
        <v>2.8865686885800486</v>
      </c>
      <c r="G26" s="64">
        <f t="shared" si="149"/>
        <v>1.8868645667528614</v>
      </c>
      <c r="H26" s="64">
        <f>H25/H24</f>
        <v>1.9751203486308244</v>
      </c>
      <c r="I26" s="64">
        <f>I25/I24</f>
        <v>1.8243668991299977</v>
      </c>
      <c r="J26" s="64">
        <f>J25/J24</f>
        <v>1.1217519512955856</v>
      </c>
      <c r="K26" s="64">
        <f t="shared" si="149"/>
        <v>1.7350063829787234</v>
      </c>
      <c r="L26" s="64">
        <f t="shared" si="149"/>
        <v>0.94508148148148152</v>
      </c>
      <c r="M26" s="65"/>
      <c r="N26" s="64">
        <f>N25/N24</f>
        <v>1.7413945409429281</v>
      </c>
      <c r="O26" s="64">
        <f>O25/O24</f>
        <v>1.0622705882352941</v>
      </c>
      <c r="P26" s="65"/>
      <c r="Q26" s="64">
        <f>Q25/Q24</f>
        <v>1.737955326460481</v>
      </c>
      <c r="R26" s="64">
        <f>R25/R24</f>
        <v>0.99035909090909091</v>
      </c>
      <c r="S26" s="65"/>
      <c r="T26" s="64">
        <f>T25/T24</f>
        <v>1.6156835891381347</v>
      </c>
      <c r="U26" s="64">
        <f>U25/U24</f>
        <v>1.0516624008989326</v>
      </c>
      <c r="V26" s="65"/>
      <c r="W26" s="64">
        <f>W25/W24</f>
        <v>1.6980154261473197</v>
      </c>
      <c r="X26" s="64">
        <f>X25/X24</f>
        <v>1.0195692911746335</v>
      </c>
      <c r="Y26" s="65"/>
      <c r="Z26" s="64">
        <f>Z25/Z24</f>
        <v>1.3491581818181819</v>
      </c>
      <c r="AA26" s="64">
        <f>AA25/AA24</f>
        <v>1.2393764705882353</v>
      </c>
      <c r="AB26" s="65"/>
      <c r="AC26" s="64">
        <f>AC25/AC24</f>
        <v>1.5941045220687788</v>
      </c>
      <c r="AD26" s="64">
        <f>AD25/AD24</f>
        <v>1.0565491476780722</v>
      </c>
      <c r="AE26" s="65"/>
      <c r="AF26" s="64">
        <f>AF25/AF24</f>
        <v>1.1466833691243139</v>
      </c>
      <c r="AG26" s="64">
        <f>AG25/AG24</f>
        <v>1.3117700000000001</v>
      </c>
      <c r="AH26" s="65"/>
      <c r="AI26" s="64">
        <f>AI25/AI24</f>
        <v>1.4983289492725864</v>
      </c>
      <c r="AJ26" s="64">
        <f>AJ25/AJ24</f>
        <v>1.1222080523346625</v>
      </c>
      <c r="AK26" s="65"/>
      <c r="AL26" s="64">
        <f>AL25/AL24</f>
        <v>1.0802528571428571</v>
      </c>
      <c r="AM26" s="64">
        <f>AM25/AM24</f>
        <v>1.3660570715434277</v>
      </c>
      <c r="AN26" s="65"/>
      <c r="AO26" s="64">
        <f>AO25/AO24</f>
        <v>1.4023588092161787</v>
      </c>
      <c r="AP26" s="64">
        <f>AP25/AP24</f>
        <v>1.16006189470573</v>
      </c>
      <c r="AQ26" s="65"/>
      <c r="AR26" s="64">
        <f>AR25/AR24</f>
        <v>0.93342857142857139</v>
      </c>
      <c r="AS26" s="64">
        <f>AS25/AS24</f>
        <v>1.5572417199148574</v>
      </c>
      <c r="AT26" s="65"/>
      <c r="AU26" s="64">
        <f>AU25/AU24</f>
        <v>1.314811624197876</v>
      </c>
      <c r="AV26" s="64">
        <f>AV25/AV24</f>
        <v>1.2125062147075349</v>
      </c>
      <c r="AW26" s="65"/>
      <c r="AX26" s="64">
        <f>AX25/AX24</f>
        <v>0.86707741935483873</v>
      </c>
      <c r="AY26" s="64">
        <f>AY25/AY24</f>
        <v>1.5359857142857143</v>
      </c>
      <c r="AZ26" s="65"/>
      <c r="BA26" s="64">
        <f>BA25/BA24</f>
        <v>1.2512802614534653</v>
      </c>
      <c r="BB26" s="64">
        <f>BB25/BB24</f>
        <v>1.2502369104167981</v>
      </c>
      <c r="BC26" s="65"/>
      <c r="BD26" s="64">
        <f>BD25/BD24</f>
        <v>0.81876246310919676</v>
      </c>
      <c r="BE26" s="64">
        <f>BE25/BE24</f>
        <v>1.165934362934363</v>
      </c>
      <c r="BF26" s="65"/>
      <c r="BG26" s="64">
        <f>BG25/BG24</f>
        <v>1.2067507031554743</v>
      </c>
      <c r="BH26" s="64">
        <f>BH25/BH24</f>
        <v>1.240983014247858</v>
      </c>
      <c r="BI26" s="65"/>
      <c r="BJ26" s="64">
        <f>BJ25/BJ24</f>
        <v>0.79978000000000005</v>
      </c>
      <c r="BK26" s="64">
        <f>BK25/BK24</f>
        <v>1.1040683333333334</v>
      </c>
      <c r="BL26" s="65"/>
      <c r="BM26" s="64">
        <f>BM25/BM24</f>
        <v>1.1688640637509542</v>
      </c>
      <c r="BN26" s="64">
        <f>BN25/BN24</f>
        <v>1.2255384751328033</v>
      </c>
      <c r="BO26" s="65"/>
      <c r="BP26" s="64">
        <f>BP25/BP24</f>
        <v>0.81714399999999998</v>
      </c>
      <c r="BQ26" s="64">
        <f>BQ25/BQ24</f>
        <v>1.148067596620169</v>
      </c>
      <c r="BR26" s="65"/>
      <c r="BS26" s="64">
        <f>BS25/BS24</f>
        <v>1.1389095368682824</v>
      </c>
      <c r="BT26" s="64">
        <f>BT25/BT24</f>
        <v>1.2172176244049533</v>
      </c>
      <c r="BU26" s="65"/>
      <c r="BV26" s="64">
        <f>BV25/BV24</f>
        <v>0.87212313609452796</v>
      </c>
      <c r="BW26" s="64">
        <f>BW25/BW24</f>
        <v>1.1718203703703705</v>
      </c>
      <c r="BX26" s="65"/>
      <c r="BY26" s="64">
        <f>BY25/BY24</f>
        <v>1.1217519512955856</v>
      </c>
      <c r="BZ26" s="64">
        <f>BZ25/BZ24</f>
        <v>1.213445572363816</v>
      </c>
      <c r="CA26" s="65"/>
      <c r="CB26" s="108"/>
    </row>
    <row r="27" spans="1:80" s="1" customFormat="1" ht="19.5" customHeight="1">
      <c r="A27" s="178" t="s">
        <v>142</v>
      </c>
      <c r="B27" s="114">
        <v>8108</v>
      </c>
      <c r="C27" s="81" t="s">
        <v>42</v>
      </c>
      <c r="D27" s="66">
        <v>653109.6</v>
      </c>
      <c r="E27" s="66">
        <v>1732558</v>
      </c>
      <c r="F27" s="66">
        <v>4038335</v>
      </c>
      <c r="G27" s="66">
        <v>5041549</v>
      </c>
      <c r="H27" s="66">
        <v>10840644</v>
      </c>
      <c r="I27" s="66">
        <v>6340969</v>
      </c>
      <c r="J27" s="66">
        <v>4170544</v>
      </c>
      <c r="K27" s="66">
        <v>378742</v>
      </c>
      <c r="L27" s="66">
        <v>488340</v>
      </c>
      <c r="M27" s="15">
        <f t="shared" si="0"/>
        <v>28.937376895089528</v>
      </c>
      <c r="N27" s="63">
        <f>Q27-K27</f>
        <v>219089</v>
      </c>
      <c r="O27" s="63">
        <f>R27-L27</f>
        <v>308594</v>
      </c>
      <c r="P27" s="15">
        <f t="shared" si="1"/>
        <v>40.8532605470836</v>
      </c>
      <c r="Q27" s="66">
        <v>597831</v>
      </c>
      <c r="R27" s="66">
        <v>796934</v>
      </c>
      <c r="S27" s="15">
        <f t="shared" si="2"/>
        <v>33.304228117979839</v>
      </c>
      <c r="T27" s="63">
        <f>W27-Q27</f>
        <v>470382</v>
      </c>
      <c r="U27" s="63">
        <f>X27-R27</f>
        <v>632885</v>
      </c>
      <c r="V27" s="15">
        <f t="shared" ref="V27:V28" si="150">(U27/T27-1)*100</f>
        <v>34.547027734904809</v>
      </c>
      <c r="W27" s="66">
        <v>1068213</v>
      </c>
      <c r="X27" s="66">
        <v>1429819</v>
      </c>
      <c r="Y27" s="15">
        <f t="shared" ref="Y27:Y28" si="151">(X27/W27-1)*100</f>
        <v>33.851488420380569</v>
      </c>
      <c r="Z27" s="63">
        <f>AC27-W27</f>
        <v>356242</v>
      </c>
      <c r="AA27" s="63">
        <f>AD27-X27</f>
        <v>406760</v>
      </c>
      <c r="AB27" s="15">
        <f t="shared" ref="AB27:AB28" si="152">(AA27/Z27-1)*100</f>
        <v>14.180809674322514</v>
      </c>
      <c r="AC27" s="66">
        <v>1424455</v>
      </c>
      <c r="AD27" s="66">
        <v>1836579</v>
      </c>
      <c r="AE27" s="15">
        <f t="shared" ref="AE27:AE28" si="153">(AD27/AC27-1)*100</f>
        <v>28.932047695434406</v>
      </c>
      <c r="AF27" s="63">
        <f>AI27-AC27</f>
        <v>291677</v>
      </c>
      <c r="AG27" s="63">
        <f>AJ27-AD27</f>
        <v>894811</v>
      </c>
      <c r="AH27" s="15">
        <f t="shared" ref="AH27:AH28" si="154">(AG27/AF27-1)*100</f>
        <v>206.78147402777731</v>
      </c>
      <c r="AI27" s="66">
        <v>1716132</v>
      </c>
      <c r="AJ27" s="66">
        <v>2731390</v>
      </c>
      <c r="AK27" s="15">
        <f t="shared" ref="AK27:AK28" si="155">(AJ27/AI27-1)*100</f>
        <v>59.159668370498309</v>
      </c>
      <c r="AL27" s="63">
        <f>AO27-AI27</f>
        <v>385501</v>
      </c>
      <c r="AM27" s="63">
        <f>AP27-AJ27</f>
        <v>482681</v>
      </c>
      <c r="AN27" s="15">
        <f t="shared" ref="AN27:AN28" si="156">(AM27/AL27-1)*100</f>
        <v>25.208754322297477</v>
      </c>
      <c r="AO27" s="66">
        <v>2101633</v>
      </c>
      <c r="AP27" s="66">
        <v>3214071</v>
      </c>
      <c r="AQ27" s="15">
        <f t="shared" ref="AQ27:AQ28" si="157">(AP27/AO27-1)*100</f>
        <v>52.932077103852102</v>
      </c>
      <c r="AR27" s="63">
        <f>AU27-AO27</f>
        <v>416784</v>
      </c>
      <c r="AS27" s="63">
        <f>AV27-AP27</f>
        <v>612318</v>
      </c>
      <c r="AT27" s="15">
        <f t="shared" ref="AT27:AT28" si="158">(AS27/AR27-1)*100</f>
        <v>46.914948750431876</v>
      </c>
      <c r="AU27" s="66">
        <v>2518417</v>
      </c>
      <c r="AV27" s="66">
        <v>3826389</v>
      </c>
      <c r="AW27" s="15">
        <f t="shared" ref="AW27:AW28" si="159">(AV27/AU27-1)*100</f>
        <v>51.936275843118906</v>
      </c>
      <c r="AX27" s="63">
        <f>BA27-AU27</f>
        <v>313928</v>
      </c>
      <c r="AY27" s="63">
        <f>BB27-AV27</f>
        <v>250172</v>
      </c>
      <c r="AZ27" s="15">
        <f t="shared" ref="AZ27:AZ28" si="160">(AY27/AX27-1)*100</f>
        <v>-20.30911546596672</v>
      </c>
      <c r="BA27" s="66">
        <v>2832345</v>
      </c>
      <c r="BB27" s="66">
        <v>4076561</v>
      </c>
      <c r="BC27" s="15">
        <f t="shared" ref="BC27:BC28" si="161">(BB27/BA27-1)*100</f>
        <v>43.928829291629377</v>
      </c>
      <c r="BD27" s="63">
        <f>BG27-BA27</f>
        <v>310383</v>
      </c>
      <c r="BE27" s="63">
        <f>BH27-BB27</f>
        <v>564207</v>
      </c>
      <c r="BF27" s="15">
        <f t="shared" ref="BF27:BF28" si="162">(BE27/BD27-1)*100</f>
        <v>81.777674679347783</v>
      </c>
      <c r="BG27" s="66">
        <v>3142728</v>
      </c>
      <c r="BH27" s="66">
        <v>4640768</v>
      </c>
      <c r="BI27" s="15">
        <f t="shared" ref="BI27:BI28" si="163">(BH27/BG27-1)*100</f>
        <v>47.666867765839108</v>
      </c>
      <c r="BJ27" s="63">
        <f>BM27-BG27</f>
        <v>255034</v>
      </c>
      <c r="BK27" s="63">
        <f>BN27-BH27</f>
        <v>328146</v>
      </c>
      <c r="BL27" s="15">
        <f t="shared" ref="BL27:BL28" si="164">(BK27/BJ27-1)*100</f>
        <v>28.667550208991742</v>
      </c>
      <c r="BM27" s="66">
        <v>3397762</v>
      </c>
      <c r="BN27" s="66">
        <v>4968914</v>
      </c>
      <c r="BO27" s="15">
        <f t="shared" ref="BO27:BO28" si="165">(BN27/BM27-1)*100</f>
        <v>46.240790261354391</v>
      </c>
      <c r="BP27" s="63">
        <f>BS27-BM27</f>
        <v>246659</v>
      </c>
      <c r="BQ27" s="63">
        <f>BT27-BN27</f>
        <v>812722</v>
      </c>
      <c r="BR27" s="15">
        <f t="shared" ref="BR27:BR28" si="166">(BQ27/BP27-1)*100</f>
        <v>229.49213286358901</v>
      </c>
      <c r="BS27" s="66">
        <v>3644421</v>
      </c>
      <c r="BT27" s="66">
        <v>5781636</v>
      </c>
      <c r="BU27" s="15">
        <f t="shared" ref="BU27:BU28" si="167">(BT27/BS27-1)*100</f>
        <v>58.643471761357979</v>
      </c>
      <c r="BV27" s="63">
        <f>BY27-BS27</f>
        <v>526123</v>
      </c>
      <c r="BW27" s="63">
        <f>BZ27-BT27</f>
        <v>162901</v>
      </c>
      <c r="BX27" s="15">
        <f t="shared" ref="BX27:BX28" si="168">(BW27/BV27-1)*100</f>
        <v>-69.037468424683965</v>
      </c>
      <c r="BY27" s="66">
        <v>4170544</v>
      </c>
      <c r="BZ27" s="66">
        <v>5944537</v>
      </c>
      <c r="CA27" s="15">
        <f t="shared" ref="CA27:CA28" si="169">(BZ27/BY27-1)*100</f>
        <v>42.536249467695342</v>
      </c>
      <c r="CB27" s="108"/>
    </row>
    <row r="28" spans="1:80" s="1" customFormat="1" ht="19.5" customHeight="1">
      <c r="A28" s="190"/>
      <c r="B28" s="120"/>
      <c r="C28" s="82" t="s">
        <v>104</v>
      </c>
      <c r="D28" s="17">
        <v>22924514</v>
      </c>
      <c r="E28" s="17">
        <v>19611582</v>
      </c>
      <c r="F28" s="17">
        <v>74729435</v>
      </c>
      <c r="G28" s="17">
        <v>101384561</v>
      </c>
      <c r="H28" s="17">
        <v>194969385</v>
      </c>
      <c r="I28" s="17">
        <v>142279016</v>
      </c>
      <c r="J28" s="17">
        <v>52479663</v>
      </c>
      <c r="K28" s="17">
        <v>4435737</v>
      </c>
      <c r="L28" s="17">
        <v>7129188</v>
      </c>
      <c r="M28" s="18">
        <f t="shared" si="0"/>
        <v>60.721611763727189</v>
      </c>
      <c r="N28" s="17">
        <f>Q28-K28</f>
        <v>2937807</v>
      </c>
      <c r="O28" s="17">
        <f>R28-L28</f>
        <v>4271550</v>
      </c>
      <c r="P28" s="18">
        <f t="shared" si="1"/>
        <v>45.399272314348771</v>
      </c>
      <c r="Q28" s="17">
        <v>7373544</v>
      </c>
      <c r="R28" s="17">
        <v>11400738</v>
      </c>
      <c r="S28" s="18">
        <f t="shared" si="2"/>
        <v>54.616802991885585</v>
      </c>
      <c r="T28" s="17">
        <f>W28-Q28</f>
        <v>6494842</v>
      </c>
      <c r="U28" s="17">
        <f>X28-R28</f>
        <v>10839095</v>
      </c>
      <c r="V28" s="18">
        <f t="shared" si="150"/>
        <v>66.887739532385851</v>
      </c>
      <c r="W28" s="17">
        <v>13868386</v>
      </c>
      <c r="X28" s="17">
        <v>22239833</v>
      </c>
      <c r="Y28" s="18">
        <f t="shared" si="151"/>
        <v>60.363527522236552</v>
      </c>
      <c r="Z28" s="17">
        <f>AC28-W28</f>
        <v>4332714</v>
      </c>
      <c r="AA28" s="17">
        <f>AD28-X28</f>
        <v>5586743</v>
      </c>
      <c r="AB28" s="18">
        <f t="shared" si="152"/>
        <v>28.943267430068076</v>
      </c>
      <c r="AC28" s="17">
        <v>18201100</v>
      </c>
      <c r="AD28" s="17">
        <v>27826576</v>
      </c>
      <c r="AE28" s="18">
        <f t="shared" si="153"/>
        <v>52.884034481432437</v>
      </c>
      <c r="AF28" s="17">
        <f>AI28-AC28</f>
        <v>3124002</v>
      </c>
      <c r="AG28" s="17">
        <f>AJ28-AD28</f>
        <v>14400615</v>
      </c>
      <c r="AH28" s="18">
        <f t="shared" si="154"/>
        <v>360.96689438739162</v>
      </c>
      <c r="AI28" s="17">
        <v>21325102</v>
      </c>
      <c r="AJ28" s="17">
        <v>42227191</v>
      </c>
      <c r="AK28" s="18">
        <f t="shared" si="155"/>
        <v>98.016361187862074</v>
      </c>
      <c r="AL28" s="17">
        <f>AO28-AI28</f>
        <v>6535171</v>
      </c>
      <c r="AM28" s="17">
        <f>AP28-AJ28</f>
        <v>5475356</v>
      </c>
      <c r="AN28" s="18">
        <f t="shared" si="156"/>
        <v>-16.21709669111948</v>
      </c>
      <c r="AO28" s="17">
        <v>27860273</v>
      </c>
      <c r="AP28" s="17">
        <v>47702547</v>
      </c>
      <c r="AQ28" s="18">
        <f t="shared" si="157"/>
        <v>71.220673250402115</v>
      </c>
      <c r="AR28" s="17">
        <f>AU28-AO28</f>
        <v>5224904</v>
      </c>
      <c r="AS28" s="17">
        <f>AV28-AP28</f>
        <v>11328049</v>
      </c>
      <c r="AT28" s="18">
        <f t="shared" si="158"/>
        <v>116.80874902199162</v>
      </c>
      <c r="AU28" s="17">
        <v>33085177</v>
      </c>
      <c r="AV28" s="17">
        <v>59030596</v>
      </c>
      <c r="AW28" s="18">
        <f t="shared" si="159"/>
        <v>78.420070111760339</v>
      </c>
      <c r="AX28" s="17">
        <f>BA28-AU28</f>
        <v>4705870</v>
      </c>
      <c r="AY28" s="17">
        <f>BB28-AV28</f>
        <v>3270015</v>
      </c>
      <c r="AZ28" s="18">
        <f t="shared" si="160"/>
        <v>-30.511998843996967</v>
      </c>
      <c r="BA28" s="17">
        <v>37791047</v>
      </c>
      <c r="BB28" s="17">
        <v>62300611</v>
      </c>
      <c r="BC28" s="18">
        <f t="shared" si="161"/>
        <v>64.855477542074965</v>
      </c>
      <c r="BD28" s="17">
        <f>BG28-BA28</f>
        <v>3770561</v>
      </c>
      <c r="BE28" s="17">
        <f>BH28-BB28</f>
        <v>10153533</v>
      </c>
      <c r="BF28" s="18">
        <f t="shared" si="162"/>
        <v>169.28441152390849</v>
      </c>
      <c r="BG28" s="17">
        <v>41561608</v>
      </c>
      <c r="BH28" s="17">
        <v>72454144</v>
      </c>
      <c r="BI28" s="18">
        <f t="shared" si="163"/>
        <v>74.329501399464618</v>
      </c>
      <c r="BJ28" s="17">
        <f>BM28-BG28</f>
        <v>2694425</v>
      </c>
      <c r="BK28" s="17">
        <f>BN28-BH28</f>
        <v>5337029</v>
      </c>
      <c r="BL28" s="18">
        <f t="shared" si="164"/>
        <v>98.076732512502659</v>
      </c>
      <c r="BM28" s="17">
        <v>44256033</v>
      </c>
      <c r="BN28" s="17">
        <v>77791173</v>
      </c>
      <c r="BO28" s="18">
        <f t="shared" si="165"/>
        <v>75.775295991848154</v>
      </c>
      <c r="BP28" s="17">
        <f>BS28-BM28</f>
        <v>2981391</v>
      </c>
      <c r="BQ28" s="17">
        <f>BT28-BN28</f>
        <v>12888432</v>
      </c>
      <c r="BR28" s="18">
        <f t="shared" si="166"/>
        <v>332.29593166411246</v>
      </c>
      <c r="BS28" s="17">
        <v>47237424</v>
      </c>
      <c r="BT28" s="17">
        <v>90679605</v>
      </c>
      <c r="BU28" s="18">
        <f t="shared" si="167"/>
        <v>91.965601257172708</v>
      </c>
      <c r="BV28" s="17">
        <f>BY28-BS28</f>
        <v>5242239</v>
      </c>
      <c r="BW28" s="17">
        <f>BZ28-BT28</f>
        <v>3051141</v>
      </c>
      <c r="BX28" s="18">
        <f t="shared" si="168"/>
        <v>-41.796987890098102</v>
      </c>
      <c r="BY28" s="17">
        <v>52479663</v>
      </c>
      <c r="BZ28" s="17">
        <v>93730746</v>
      </c>
      <c r="CA28" s="18">
        <f t="shared" si="169"/>
        <v>78.603940349235856</v>
      </c>
      <c r="CB28" s="108"/>
    </row>
    <row r="29" spans="1:80" s="1" customFormat="1" ht="19.5" customHeight="1">
      <c r="A29" s="191"/>
      <c r="B29" s="121"/>
      <c r="C29" s="83" t="s">
        <v>105</v>
      </c>
      <c r="D29" s="64">
        <f t="shared" ref="D29:L29" si="170">D28/D27</f>
        <v>35.100561988370714</v>
      </c>
      <c r="E29" s="64">
        <f t="shared" si="170"/>
        <v>11.319437502236577</v>
      </c>
      <c r="F29" s="64">
        <f t="shared" si="170"/>
        <v>18.505011347498414</v>
      </c>
      <c r="G29" s="64">
        <f t="shared" si="170"/>
        <v>20.109803752775189</v>
      </c>
      <c r="H29" s="64">
        <f>H28/H27</f>
        <v>17.985037143549775</v>
      </c>
      <c r="I29" s="64">
        <f>I28/I27</f>
        <v>22.438055760878189</v>
      </c>
      <c r="J29" s="64">
        <f>J28/J27</f>
        <v>12.583409502453398</v>
      </c>
      <c r="K29" s="64">
        <f t="shared" si="170"/>
        <v>11.711764208880979</v>
      </c>
      <c r="L29" s="64">
        <f t="shared" si="170"/>
        <v>14.598820493918172</v>
      </c>
      <c r="M29" s="65"/>
      <c r="N29" s="64">
        <f>N28/N27</f>
        <v>13.409194436963974</v>
      </c>
      <c r="O29" s="64">
        <f>O28/O27</f>
        <v>13.841973596375821</v>
      </c>
      <c r="P29" s="65"/>
      <c r="Q29" s="64">
        <f>Q28/Q27</f>
        <v>12.333826783823522</v>
      </c>
      <c r="R29" s="64">
        <f>R28/R27</f>
        <v>14.305749284131434</v>
      </c>
      <c r="S29" s="65"/>
      <c r="T29" s="64">
        <f>T28/T27</f>
        <v>13.807590426504415</v>
      </c>
      <c r="U29" s="64">
        <f>U28/U27</f>
        <v>17.126484274394244</v>
      </c>
      <c r="V29" s="65"/>
      <c r="W29" s="64">
        <f>W28/W27</f>
        <v>12.98279088533841</v>
      </c>
      <c r="X29" s="64">
        <f>X28/X27</f>
        <v>15.554299530220259</v>
      </c>
      <c r="Y29" s="65"/>
      <c r="Z29" s="64">
        <f>Z28/Z27</f>
        <v>12.162277328332987</v>
      </c>
      <c r="AA29" s="64">
        <f>AA28/AA27</f>
        <v>13.73474038745206</v>
      </c>
      <c r="AB29" s="65"/>
      <c r="AC29" s="64">
        <f>AC28/AC27</f>
        <v>12.777588621613178</v>
      </c>
      <c r="AD29" s="64">
        <f>AD28/AD27</f>
        <v>15.151309037073821</v>
      </c>
      <c r="AE29" s="65"/>
      <c r="AF29" s="64">
        <f>AF28/AF27</f>
        <v>10.71048454283334</v>
      </c>
      <c r="AG29" s="64">
        <f>AG28/AG27</f>
        <v>16.09347113524532</v>
      </c>
      <c r="AH29" s="65"/>
      <c r="AI29" s="64">
        <f>AI28/AI27</f>
        <v>12.426259751580881</v>
      </c>
      <c r="AJ29" s="64">
        <f>AJ28/AJ27</f>
        <v>15.459963974386667</v>
      </c>
      <c r="AK29" s="65"/>
      <c r="AL29" s="64">
        <f>AL28/AL27</f>
        <v>16.95240998077826</v>
      </c>
      <c r="AM29" s="64">
        <f>AM28/AM27</f>
        <v>11.34363275123736</v>
      </c>
      <c r="AN29" s="65"/>
      <c r="AO29" s="64">
        <f>AO28/AO27</f>
        <v>13.256488168961946</v>
      </c>
      <c r="AP29" s="64">
        <f>AP28/AP27</f>
        <v>14.841783831159921</v>
      </c>
      <c r="AQ29" s="65"/>
      <c r="AR29" s="64">
        <f>AR28/AR27</f>
        <v>12.536239394986373</v>
      </c>
      <c r="AS29" s="64">
        <f>AS28/AS27</f>
        <v>18.500271100963879</v>
      </c>
      <c r="AT29" s="65"/>
      <c r="AU29" s="64">
        <f>AU28/AU27</f>
        <v>13.137291004627112</v>
      </c>
      <c r="AV29" s="64">
        <f>AV28/AV27</f>
        <v>15.427233352385239</v>
      </c>
      <c r="AW29" s="65"/>
      <c r="AX29" s="64">
        <f>AX28/AX27</f>
        <v>14.99028439642211</v>
      </c>
      <c r="AY29" s="64">
        <f>AY28/AY27</f>
        <v>13.071067105831188</v>
      </c>
      <c r="AZ29" s="65"/>
      <c r="BA29" s="64">
        <f>BA28/BA27</f>
        <v>13.342670825764516</v>
      </c>
      <c r="BB29" s="64">
        <f>BB28/BB27</f>
        <v>15.282639214769508</v>
      </c>
      <c r="BC29" s="65"/>
      <c r="BD29" s="64">
        <f>BD28/BD27</f>
        <v>12.148091229223249</v>
      </c>
      <c r="BE29" s="64">
        <f>BE28/BE27</f>
        <v>17.99611312869213</v>
      </c>
      <c r="BF29" s="65"/>
      <c r="BG29" s="64">
        <f>BG28/BG27</f>
        <v>13.224691414592673</v>
      </c>
      <c r="BH29" s="64">
        <f>BH28/BH27</f>
        <v>15.61253309796999</v>
      </c>
      <c r="BI29" s="65"/>
      <c r="BJ29" s="64">
        <f>BJ28/BJ27</f>
        <v>10.564963887167986</v>
      </c>
      <c r="BK29" s="64">
        <f>BK28/BK27</f>
        <v>16.264190329914122</v>
      </c>
      <c r="BL29" s="65"/>
      <c r="BM29" s="64">
        <f>BM28/BM27</f>
        <v>13.025053844265726</v>
      </c>
      <c r="BN29" s="64">
        <f>BN28/BN27</f>
        <v>15.655568399855582</v>
      </c>
      <c r="BO29" s="65"/>
      <c r="BP29" s="64">
        <f>BP28/BP27</f>
        <v>12.087095950279537</v>
      </c>
      <c r="BQ29" s="64">
        <f>BQ28/BQ27</f>
        <v>15.858352548595953</v>
      </c>
      <c r="BR29" s="65"/>
      <c r="BS29" s="64">
        <f>BS28/BS27</f>
        <v>12.961571673525095</v>
      </c>
      <c r="BT29" s="64">
        <f>BT28/BT27</f>
        <v>15.684073677415872</v>
      </c>
      <c r="BU29" s="65"/>
      <c r="BV29" s="64">
        <f>BV28/BV27</f>
        <v>9.9639038779905071</v>
      </c>
      <c r="BW29" s="64">
        <f>BW28/BW27</f>
        <v>18.730032350937073</v>
      </c>
      <c r="BX29" s="65"/>
      <c r="BY29" s="64">
        <f>BY28/BY27</f>
        <v>12.583409502453398</v>
      </c>
      <c r="BZ29" s="64">
        <f>BZ28/BZ27</f>
        <v>15.767543544602381</v>
      </c>
      <c r="CA29" s="65"/>
      <c r="CB29" s="108"/>
    </row>
    <row r="30" spans="1:80" s="1" customFormat="1" ht="19.5" customHeight="1">
      <c r="A30" s="178" t="s">
        <v>143</v>
      </c>
      <c r="B30" s="114">
        <v>8109</v>
      </c>
      <c r="C30" s="81" t="s">
        <v>42</v>
      </c>
      <c r="D30" s="66">
        <v>76432.7</v>
      </c>
      <c r="E30" s="66">
        <v>51410</v>
      </c>
      <c r="F30" s="66">
        <v>42994</v>
      </c>
      <c r="G30" s="66">
        <v>77775</v>
      </c>
      <c r="H30" s="66">
        <v>37187</v>
      </c>
      <c r="I30" s="66">
        <v>73365</v>
      </c>
      <c r="J30" s="66">
        <v>98704</v>
      </c>
      <c r="K30" s="66">
        <v>3075</v>
      </c>
      <c r="L30" s="66">
        <v>2285</v>
      </c>
      <c r="M30" s="15">
        <f t="shared" si="0"/>
        <v>-25.69105691056911</v>
      </c>
      <c r="N30" s="63">
        <f>Q30-K30</f>
        <v>8141</v>
      </c>
      <c r="O30" s="63">
        <f>R30-L30</f>
        <v>1904</v>
      </c>
      <c r="P30" s="15">
        <f t="shared" si="1"/>
        <v>-76.612209802235597</v>
      </c>
      <c r="Q30" s="66">
        <v>11216</v>
      </c>
      <c r="R30" s="66">
        <v>4189</v>
      </c>
      <c r="S30" s="15">
        <f t="shared" si="2"/>
        <v>-62.651569186875889</v>
      </c>
      <c r="T30" s="63">
        <f>W30-Q30</f>
        <v>940</v>
      </c>
      <c r="U30" s="63">
        <f>X30-R30</f>
        <v>14005</v>
      </c>
      <c r="V30" s="15">
        <f t="shared" ref="V30:V31" si="171">(U30/T30-1)*100</f>
        <v>1389.8936170212767</v>
      </c>
      <c r="W30" s="66">
        <v>12156</v>
      </c>
      <c r="X30" s="66">
        <v>18194</v>
      </c>
      <c r="Y30" s="15">
        <f t="shared" ref="Y30:Y31" si="172">(X30/W30-1)*100</f>
        <v>49.670944389601843</v>
      </c>
      <c r="Z30" s="63">
        <f>AC30-W30</f>
        <v>1621</v>
      </c>
      <c r="AA30" s="63">
        <f>AD30-X30</f>
        <v>9685</v>
      </c>
      <c r="AB30" s="15">
        <f t="shared" ref="AB30:AB31" si="173">(AA30/Z30-1)*100</f>
        <v>497.47069710055518</v>
      </c>
      <c r="AC30" s="66">
        <v>13777</v>
      </c>
      <c r="AD30" s="66">
        <v>27879</v>
      </c>
      <c r="AE30" s="15">
        <f t="shared" ref="AE30:AE31" si="174">(AD30/AC30-1)*100</f>
        <v>102.35900413733034</v>
      </c>
      <c r="AF30" s="63">
        <f>AI30-AC30</f>
        <v>15195</v>
      </c>
      <c r="AG30" s="63">
        <f>AJ30-AD30</f>
        <v>16455</v>
      </c>
      <c r="AH30" s="15">
        <f t="shared" ref="AH30:AH31" si="175">(AG30/AF30-1)*100</f>
        <v>8.2922013820335714</v>
      </c>
      <c r="AI30" s="66">
        <v>28972</v>
      </c>
      <c r="AJ30" s="66">
        <v>44334</v>
      </c>
      <c r="AK30" s="15">
        <f t="shared" ref="AK30:AK31" si="176">(AJ30/AI30-1)*100</f>
        <v>53.023609001794838</v>
      </c>
      <c r="AL30" s="63">
        <f>AO30-AI30</f>
        <v>13940</v>
      </c>
      <c r="AM30" s="63">
        <f>AP30-AJ30</f>
        <v>24549</v>
      </c>
      <c r="AN30" s="15">
        <f t="shared" ref="AN30:AN31" si="177">(AM30/AL30-1)*100</f>
        <v>76.104734576757522</v>
      </c>
      <c r="AO30" s="66">
        <v>42912</v>
      </c>
      <c r="AP30" s="66">
        <v>68883</v>
      </c>
      <c r="AQ30" s="15">
        <f t="shared" ref="AQ30:AQ31" si="178">(AP30/AO30-1)*100</f>
        <v>60.521532438478751</v>
      </c>
      <c r="AR30" s="63">
        <f>AU30-AO30</f>
        <v>5762</v>
      </c>
      <c r="AS30" s="63">
        <f>AV30-AP30</f>
        <v>10645</v>
      </c>
      <c r="AT30" s="15">
        <f t="shared" ref="AT30:AT31" si="179">(AS30/AR30-1)*100</f>
        <v>84.744880249913223</v>
      </c>
      <c r="AU30" s="66">
        <v>48674</v>
      </c>
      <c r="AV30" s="66">
        <v>79528</v>
      </c>
      <c r="AW30" s="15">
        <f t="shared" ref="AW30:AW31" si="180">(AV30/AU30-1)*100</f>
        <v>63.389078358055627</v>
      </c>
      <c r="AX30" s="63">
        <f>BA30-AU30</f>
        <v>8158</v>
      </c>
      <c r="AY30" s="63">
        <f>BB30-AV30</f>
        <v>13053</v>
      </c>
      <c r="AZ30" s="15">
        <f t="shared" ref="AZ30:AZ31" si="181">(AY30/AX30-1)*100</f>
        <v>60.002451581269909</v>
      </c>
      <c r="BA30" s="66">
        <v>56832</v>
      </c>
      <c r="BB30" s="66">
        <v>92581</v>
      </c>
      <c r="BC30" s="15">
        <f t="shared" ref="BC30:BC31" si="182">(BB30/BA30-1)*100</f>
        <v>62.902942004504503</v>
      </c>
      <c r="BD30" s="63">
        <f>BG30-BA30</f>
        <v>15529</v>
      </c>
      <c r="BE30" s="63">
        <f>BH30-BB30</f>
        <v>681</v>
      </c>
      <c r="BF30" s="15">
        <f t="shared" ref="BF30:BF31" si="183">(BE30/BD30-1)*100</f>
        <v>-95.614656449224029</v>
      </c>
      <c r="BG30" s="66">
        <v>72361</v>
      </c>
      <c r="BH30" s="66">
        <v>93262</v>
      </c>
      <c r="BI30" s="15">
        <f t="shared" ref="BI30:BI31" si="184">(BH30/BG30-1)*100</f>
        <v>28.884343776343613</v>
      </c>
      <c r="BJ30" s="63">
        <f>BM30-BG30</f>
        <v>4222</v>
      </c>
      <c r="BK30" s="63">
        <f>BN30-BH30</f>
        <v>266</v>
      </c>
      <c r="BL30" s="15">
        <f t="shared" ref="BL30:BL31" si="185">(BK30/BJ30-1)*100</f>
        <v>-93.699668403600185</v>
      </c>
      <c r="BM30" s="66">
        <v>76583</v>
      </c>
      <c r="BN30" s="66">
        <v>93528</v>
      </c>
      <c r="BO30" s="15">
        <f t="shared" ref="BO30:BO31" si="186">(BN30/BM30-1)*100</f>
        <v>22.126320462765882</v>
      </c>
      <c r="BP30" s="63">
        <f>BS30-BM30</f>
        <v>20772</v>
      </c>
      <c r="BQ30" s="63">
        <f>BT30-BN30</f>
        <v>810</v>
      </c>
      <c r="BR30" s="15">
        <f t="shared" ref="BR30:BR31" si="187">(BQ30/BP30-1)*100</f>
        <v>-96.100519930675915</v>
      </c>
      <c r="BS30" s="66">
        <v>97355</v>
      </c>
      <c r="BT30" s="66">
        <v>94338</v>
      </c>
      <c r="BU30" s="15">
        <f t="shared" ref="BU30:BU31" si="188">(BT30/BS30-1)*100</f>
        <v>-3.0989676955472278</v>
      </c>
      <c r="BV30" s="63">
        <f>BY30-BS30</f>
        <v>1349</v>
      </c>
      <c r="BW30" s="63">
        <f>BZ30-BT30</f>
        <v>3</v>
      </c>
      <c r="BX30" s="15">
        <f t="shared" ref="BX30:BX31" si="189">(BW30/BV30-1)*100</f>
        <v>-99.777613046701262</v>
      </c>
      <c r="BY30" s="66">
        <v>98704</v>
      </c>
      <c r="BZ30" s="66">
        <v>94341</v>
      </c>
      <c r="CA30" s="15">
        <f t="shared" ref="CA30:CA31" si="190">(BZ30/BY30-1)*100</f>
        <v>-4.4202869184632787</v>
      </c>
      <c r="CB30" s="108"/>
    </row>
    <row r="31" spans="1:80" s="1" customFormat="1" ht="19.5" customHeight="1">
      <c r="A31" s="179"/>
      <c r="B31" s="115"/>
      <c r="C31" s="82" t="s">
        <v>104</v>
      </c>
      <c r="D31" s="17">
        <v>2324626</v>
      </c>
      <c r="E31" s="17">
        <v>928661</v>
      </c>
      <c r="F31" s="17">
        <v>2982434</v>
      </c>
      <c r="G31" s="17">
        <v>3827889</v>
      </c>
      <c r="H31" s="17">
        <v>1583102</v>
      </c>
      <c r="I31" s="17">
        <v>3047491</v>
      </c>
      <c r="J31" s="17">
        <v>5688510</v>
      </c>
      <c r="K31" s="17">
        <v>571561</v>
      </c>
      <c r="L31" s="17">
        <v>392458</v>
      </c>
      <c r="M31" s="18">
        <f t="shared" si="0"/>
        <v>-31.335762936939361</v>
      </c>
      <c r="N31" s="17">
        <f>Q31-K31</f>
        <v>376723</v>
      </c>
      <c r="O31" s="17">
        <f>R31-L31</f>
        <v>186841</v>
      </c>
      <c r="P31" s="18">
        <f t="shared" si="1"/>
        <v>-50.403612203130677</v>
      </c>
      <c r="Q31" s="17">
        <v>948284</v>
      </c>
      <c r="R31" s="17">
        <v>579299</v>
      </c>
      <c r="S31" s="18">
        <f t="shared" si="2"/>
        <v>-38.910811529035605</v>
      </c>
      <c r="T31" s="17">
        <f>W31-Q31</f>
        <v>171669</v>
      </c>
      <c r="U31" s="17">
        <f>X31-R31</f>
        <v>174617</v>
      </c>
      <c r="V31" s="18">
        <f t="shared" si="171"/>
        <v>1.7172582120243085</v>
      </c>
      <c r="W31" s="17">
        <v>1119953</v>
      </c>
      <c r="X31" s="17">
        <v>753916</v>
      </c>
      <c r="Y31" s="18">
        <f t="shared" si="172"/>
        <v>-32.68324652909542</v>
      </c>
      <c r="Z31" s="17">
        <f>AC31-W31</f>
        <v>291867</v>
      </c>
      <c r="AA31" s="17">
        <f>AD31-X31</f>
        <v>86684</v>
      </c>
      <c r="AB31" s="18">
        <f t="shared" si="173"/>
        <v>-70.300170968283496</v>
      </c>
      <c r="AC31" s="17">
        <v>1411820</v>
      </c>
      <c r="AD31" s="17">
        <v>840600</v>
      </c>
      <c r="AE31" s="18">
        <f t="shared" si="174"/>
        <v>-40.459831989913731</v>
      </c>
      <c r="AF31" s="17">
        <f>AI31-AC31</f>
        <v>505230</v>
      </c>
      <c r="AG31" s="17">
        <f>AJ31-AD31</f>
        <v>155616</v>
      </c>
      <c r="AH31" s="18">
        <f t="shared" si="175"/>
        <v>-69.198978682976062</v>
      </c>
      <c r="AI31" s="17">
        <v>1917050</v>
      </c>
      <c r="AJ31" s="17">
        <v>996216</v>
      </c>
      <c r="AK31" s="18">
        <f t="shared" si="176"/>
        <v>-48.033906262225813</v>
      </c>
      <c r="AL31" s="17">
        <f>AO31-AI31</f>
        <v>472349</v>
      </c>
      <c r="AM31" s="17">
        <f>AP31-AJ31</f>
        <v>127084</v>
      </c>
      <c r="AN31" s="18">
        <f t="shared" si="177"/>
        <v>-73.095317233655621</v>
      </c>
      <c r="AO31" s="17">
        <v>2389399</v>
      </c>
      <c r="AP31" s="17">
        <v>1123300</v>
      </c>
      <c r="AQ31" s="18">
        <f t="shared" si="178"/>
        <v>-52.988178198785555</v>
      </c>
      <c r="AR31" s="17">
        <f>AU31-AO31</f>
        <v>771829</v>
      </c>
      <c r="AS31" s="17">
        <f>AV31-AP31</f>
        <v>84146</v>
      </c>
      <c r="AT31" s="18">
        <f t="shared" si="179"/>
        <v>-89.097844211606457</v>
      </c>
      <c r="AU31" s="17">
        <v>3161228</v>
      </c>
      <c r="AV31" s="17">
        <v>1207446</v>
      </c>
      <c r="AW31" s="18">
        <f t="shared" si="180"/>
        <v>-61.80452659536104</v>
      </c>
      <c r="AX31" s="17">
        <f>BA31-AU31</f>
        <v>1074374</v>
      </c>
      <c r="AY31" s="17">
        <f>BB31-AV31</f>
        <v>213818</v>
      </c>
      <c r="AZ31" s="18">
        <f t="shared" si="181"/>
        <v>-80.098364256767198</v>
      </c>
      <c r="BA31" s="17">
        <v>4235602</v>
      </c>
      <c r="BB31" s="17">
        <v>1421264</v>
      </c>
      <c r="BC31" s="18">
        <f t="shared" si="182"/>
        <v>-66.444817053160335</v>
      </c>
      <c r="BD31" s="17">
        <f>BG31-BA31</f>
        <v>458250</v>
      </c>
      <c r="BE31" s="17">
        <f>BH31-BB31</f>
        <v>26867</v>
      </c>
      <c r="BF31" s="18">
        <f t="shared" si="183"/>
        <v>-94.137043098745224</v>
      </c>
      <c r="BG31" s="17">
        <v>4693852</v>
      </c>
      <c r="BH31" s="17">
        <v>1448131</v>
      </c>
      <c r="BI31" s="18">
        <f t="shared" si="184"/>
        <v>-69.14834553795049</v>
      </c>
      <c r="BJ31" s="17">
        <f>BM31-BG31</f>
        <v>359669</v>
      </c>
      <c r="BK31" s="17">
        <f>BN31-BH31</f>
        <v>93116</v>
      </c>
      <c r="BL31" s="18">
        <f t="shared" si="185"/>
        <v>-74.110640616789325</v>
      </c>
      <c r="BM31" s="17">
        <v>5053521</v>
      </c>
      <c r="BN31" s="17">
        <v>1541247</v>
      </c>
      <c r="BO31" s="18">
        <f t="shared" si="186"/>
        <v>-69.501521810238842</v>
      </c>
      <c r="BP31" s="17">
        <f>BS31-BM31</f>
        <v>471369</v>
      </c>
      <c r="BQ31" s="17">
        <f>BT31-BN31</f>
        <v>26997</v>
      </c>
      <c r="BR31" s="18">
        <f t="shared" si="187"/>
        <v>-94.272639906315433</v>
      </c>
      <c r="BS31" s="17">
        <v>5524890</v>
      </c>
      <c r="BT31" s="17">
        <v>1568244</v>
      </c>
      <c r="BU31" s="18">
        <f t="shared" si="188"/>
        <v>-71.614928080016071</v>
      </c>
      <c r="BV31" s="17">
        <f>BY31-BS31</f>
        <v>163620</v>
      </c>
      <c r="BW31" s="17">
        <f>BZ31-BT31</f>
        <v>321</v>
      </c>
      <c r="BX31" s="18">
        <f t="shared" si="189"/>
        <v>-99.803813714704802</v>
      </c>
      <c r="BY31" s="17">
        <v>5688510</v>
      </c>
      <c r="BZ31" s="17">
        <v>1568565</v>
      </c>
      <c r="CA31" s="18">
        <f t="shared" si="190"/>
        <v>-72.425731870032749</v>
      </c>
      <c r="CB31" s="108"/>
    </row>
    <row r="32" spans="1:80" s="1" customFormat="1" ht="19.5" customHeight="1">
      <c r="A32" s="180"/>
      <c r="B32" s="116"/>
      <c r="C32" s="83" t="s">
        <v>105</v>
      </c>
      <c r="D32" s="64">
        <f t="shared" ref="D32:L32" si="191">D31/D30</f>
        <v>30.414024363917537</v>
      </c>
      <c r="E32" s="64">
        <f t="shared" si="191"/>
        <v>18.063820268430266</v>
      </c>
      <c r="F32" s="64">
        <f t="shared" si="191"/>
        <v>69.368609573428856</v>
      </c>
      <c r="G32" s="64">
        <f t="shared" si="191"/>
        <v>49.217473481195753</v>
      </c>
      <c r="H32" s="64">
        <f>H31/H30</f>
        <v>42.571382472369379</v>
      </c>
      <c r="I32" s="64">
        <f>I31/I30</f>
        <v>41.538758263477135</v>
      </c>
      <c r="J32" s="64">
        <f>J31/J30</f>
        <v>57.632010860755393</v>
      </c>
      <c r="K32" s="64">
        <f t="shared" si="191"/>
        <v>185.87349593495935</v>
      </c>
      <c r="L32" s="64">
        <f t="shared" si="191"/>
        <v>171.75404814004375</v>
      </c>
      <c r="M32" s="65"/>
      <c r="N32" s="64">
        <f>N31/N30</f>
        <v>46.274781967817219</v>
      </c>
      <c r="O32" s="64">
        <f>O31/O30</f>
        <v>98.130777310924373</v>
      </c>
      <c r="P32" s="65"/>
      <c r="Q32" s="64">
        <f>Q31/Q30</f>
        <v>84.547432239657638</v>
      </c>
      <c r="R32" s="64">
        <f>R31/R30</f>
        <v>138.29052279780376</v>
      </c>
      <c r="S32" s="65"/>
      <c r="T32" s="64">
        <f>T31/T30</f>
        <v>182.62659574468086</v>
      </c>
      <c r="U32" s="64">
        <f>U31/U30</f>
        <v>12.468189932167084</v>
      </c>
      <c r="V32" s="65"/>
      <c r="W32" s="64">
        <f>W31/W30</f>
        <v>92.131704508061858</v>
      </c>
      <c r="X32" s="64">
        <f>X31/X30</f>
        <v>41.437616796746177</v>
      </c>
      <c r="Y32" s="65"/>
      <c r="Z32" s="64">
        <f>Z31/Z30</f>
        <v>180.05367057371993</v>
      </c>
      <c r="AA32" s="64">
        <f>AA31/AA30</f>
        <v>8.9503355704697984</v>
      </c>
      <c r="AB32" s="65"/>
      <c r="AC32" s="64">
        <f>AC31/AC30</f>
        <v>102.47659142048342</v>
      </c>
      <c r="AD32" s="64">
        <f>AD31/AD30</f>
        <v>30.15172710642419</v>
      </c>
      <c r="AE32" s="65"/>
      <c r="AF32" s="64">
        <f>AF31/AF30</f>
        <v>33.249753208292205</v>
      </c>
      <c r="AG32" s="64">
        <f>AG31/AG30</f>
        <v>9.4570647219690063</v>
      </c>
      <c r="AH32" s="65"/>
      <c r="AI32" s="64">
        <f>AI31/AI30</f>
        <v>66.169059781858351</v>
      </c>
      <c r="AJ32" s="64">
        <f>AJ31/AJ30</f>
        <v>22.470699688726484</v>
      </c>
      <c r="AK32" s="65"/>
      <c r="AL32" s="64">
        <f>AL31/AL30</f>
        <v>33.884433285509324</v>
      </c>
      <c r="AM32" s="64">
        <f>AM31/AM30</f>
        <v>5.1767485437288689</v>
      </c>
      <c r="AN32" s="65"/>
      <c r="AO32" s="64">
        <f>AO31/AO30</f>
        <v>55.681371178225206</v>
      </c>
      <c r="AP32" s="64">
        <f>AP31/AP30</f>
        <v>16.307361758343859</v>
      </c>
      <c r="AQ32" s="65"/>
      <c r="AR32" s="64">
        <f>AR31/AR30</f>
        <v>133.95157931273863</v>
      </c>
      <c r="AS32" s="64">
        <f>AS31/AS30</f>
        <v>7.9047440112728982</v>
      </c>
      <c r="AT32" s="65"/>
      <c r="AU32" s="64">
        <f>AU31/AU30</f>
        <v>64.946953198833057</v>
      </c>
      <c r="AV32" s="64">
        <f>AV31/AV30</f>
        <v>15.182652650638769</v>
      </c>
      <c r="AW32" s="65"/>
      <c r="AX32" s="64">
        <f>AX31/AX30</f>
        <v>131.69575876440305</v>
      </c>
      <c r="AY32" s="64">
        <f>AY31/AY30</f>
        <v>16.380755381904542</v>
      </c>
      <c r="AZ32" s="65"/>
      <c r="BA32" s="64">
        <f>BA31/BA30</f>
        <v>74.528469876126124</v>
      </c>
      <c r="BB32" s="64">
        <f>BB31/BB30</f>
        <v>15.351573216966765</v>
      </c>
      <c r="BC32" s="65"/>
      <c r="BD32" s="64">
        <f>BD31/BD30</f>
        <v>29.509305170970443</v>
      </c>
      <c r="BE32" s="64">
        <f>BE31/BE30</f>
        <v>39.452276064610864</v>
      </c>
      <c r="BF32" s="65"/>
      <c r="BG32" s="64">
        <f>BG31/BG30</f>
        <v>64.867152195243293</v>
      </c>
      <c r="BH32" s="64">
        <f>BH31/BH30</f>
        <v>15.527556775535588</v>
      </c>
      <c r="BI32" s="65"/>
      <c r="BJ32" s="64">
        <f>BJ31/BJ30</f>
        <v>85.189246802463288</v>
      </c>
      <c r="BK32" s="64">
        <f>BK31/BK30</f>
        <v>350.06015037593983</v>
      </c>
      <c r="BL32" s="65"/>
      <c r="BM32" s="64">
        <f>BM31/BM30</f>
        <v>65.987503754096863</v>
      </c>
      <c r="BN32" s="64">
        <f>BN31/BN30</f>
        <v>16.478990248909419</v>
      </c>
      <c r="BO32" s="65"/>
      <c r="BP32" s="64">
        <f>BP31/BP30</f>
        <v>22.692518775274408</v>
      </c>
      <c r="BQ32" s="64">
        <f>BQ31/BQ30</f>
        <v>33.329629629629629</v>
      </c>
      <c r="BR32" s="65"/>
      <c r="BS32" s="64">
        <f>BS31/BS30</f>
        <v>56.74993580196189</v>
      </c>
      <c r="BT32" s="64">
        <f>BT31/BT30</f>
        <v>16.623672327164027</v>
      </c>
      <c r="BU32" s="65"/>
      <c r="BV32" s="64">
        <f>BV31/BV30</f>
        <v>121.28984432913269</v>
      </c>
      <c r="BW32" s="64">
        <f>BW31/BW30</f>
        <v>107</v>
      </c>
      <c r="BX32" s="65"/>
      <c r="BY32" s="64">
        <f>BY31/BY30</f>
        <v>57.632010860755393</v>
      </c>
      <c r="BZ32" s="64">
        <f>BZ31/BZ30</f>
        <v>16.626546252424713</v>
      </c>
      <c r="CA32" s="65"/>
      <c r="CB32" s="108"/>
    </row>
    <row r="33" spans="1:80" s="1" customFormat="1" ht="19.5" customHeight="1">
      <c r="A33" s="178" t="s">
        <v>144</v>
      </c>
      <c r="B33" s="114">
        <v>8110</v>
      </c>
      <c r="C33" s="81" t="s">
        <v>42</v>
      </c>
      <c r="D33" s="66">
        <v>40030</v>
      </c>
      <c r="E33" s="66">
        <v>20082</v>
      </c>
      <c r="F33" s="66">
        <v>48042</v>
      </c>
      <c r="G33" s="66">
        <v>1532107</v>
      </c>
      <c r="H33" s="66">
        <v>2022257</v>
      </c>
      <c r="I33" s="66">
        <v>232482</v>
      </c>
      <c r="J33" s="66">
        <v>322334</v>
      </c>
      <c r="K33" s="66">
        <v>0</v>
      </c>
      <c r="L33" s="66">
        <v>58692</v>
      </c>
      <c r="M33" s="15" t="e">
        <f t="shared" si="0"/>
        <v>#DIV/0!</v>
      </c>
      <c r="N33" s="63">
        <f>Q33-K33</f>
        <v>60409</v>
      </c>
      <c r="O33" s="63">
        <f>R33-L33</f>
        <v>49219</v>
      </c>
      <c r="P33" s="67">
        <f t="shared" si="1"/>
        <v>-18.523729907795193</v>
      </c>
      <c r="Q33" s="66">
        <v>60409</v>
      </c>
      <c r="R33" s="66">
        <v>107911</v>
      </c>
      <c r="S33" s="67">
        <f t="shared" si="2"/>
        <v>78.633978380704875</v>
      </c>
      <c r="T33" s="63">
        <f>W33-Q33</f>
        <v>0</v>
      </c>
      <c r="U33" s="63">
        <f>X33-R33</f>
        <v>46020</v>
      </c>
      <c r="V33" s="67" t="e">
        <f t="shared" ref="V33:V34" si="192">(U33/T33-1)*100</f>
        <v>#DIV/0!</v>
      </c>
      <c r="W33" s="66">
        <v>60409</v>
      </c>
      <c r="X33" s="66">
        <v>153931</v>
      </c>
      <c r="Y33" s="67">
        <f t="shared" ref="Y33:Y34" si="193">(X33/W33-1)*100</f>
        <v>154.81467993179825</v>
      </c>
      <c r="Z33" s="63">
        <f>AC33-W33</f>
        <v>4748</v>
      </c>
      <c r="AA33" s="63">
        <f>AD33-X33</f>
        <v>39053</v>
      </c>
      <c r="AB33" s="67">
        <f t="shared" ref="AB33:AB34" si="194">(AA33/Z33-1)*100</f>
        <v>722.51474304970509</v>
      </c>
      <c r="AC33" s="66">
        <v>65157</v>
      </c>
      <c r="AD33" s="66">
        <v>192984</v>
      </c>
      <c r="AE33" s="67">
        <f t="shared" ref="AE33:AE34" si="195">(AD33/AC33-1)*100</f>
        <v>196.1830655186703</v>
      </c>
      <c r="AF33" s="63">
        <f>AI33-AC33</f>
        <v>0</v>
      </c>
      <c r="AG33" s="63">
        <f>AJ33-AD33</f>
        <v>58120</v>
      </c>
      <c r="AH33" s="67" t="e">
        <f t="shared" ref="AH33:AH34" si="196">(AG33/AF33-1)*100</f>
        <v>#DIV/0!</v>
      </c>
      <c r="AI33" s="66">
        <v>65157</v>
      </c>
      <c r="AJ33" s="66">
        <v>251104</v>
      </c>
      <c r="AK33" s="67">
        <f t="shared" ref="AK33:AK34" si="197">(AJ33/AI33-1)*100</f>
        <v>285.38299798947156</v>
      </c>
      <c r="AL33" s="63">
        <f>AO33-AI33</f>
        <v>0</v>
      </c>
      <c r="AM33" s="63">
        <f>AP33-AJ33</f>
        <v>58051</v>
      </c>
      <c r="AN33" s="67" t="e">
        <f t="shared" ref="AN33:AN34" si="198">(AM33/AL33-1)*100</f>
        <v>#DIV/0!</v>
      </c>
      <c r="AO33" s="66">
        <v>65157</v>
      </c>
      <c r="AP33" s="66">
        <v>309155</v>
      </c>
      <c r="AQ33" s="67">
        <f t="shared" ref="AQ33:AQ34" si="199">(AP33/AO33-1)*100</f>
        <v>374.4770323986678</v>
      </c>
      <c r="AR33" s="63">
        <f>AU33-AO33</f>
        <v>10055</v>
      </c>
      <c r="AS33" s="63">
        <f>AV33-AP33</f>
        <v>58061</v>
      </c>
      <c r="AT33" s="67">
        <f t="shared" ref="AT33:AT34" si="200">(AS33/AR33-1)*100</f>
        <v>477.43411238189958</v>
      </c>
      <c r="AU33" s="66">
        <v>75212</v>
      </c>
      <c r="AV33" s="66">
        <v>367216</v>
      </c>
      <c r="AW33" s="67">
        <f t="shared" ref="AW33:AW34" si="201">(AV33/AU33-1)*100</f>
        <v>388.24123810030312</v>
      </c>
      <c r="AX33" s="63">
        <f>BA33-AU33</f>
        <v>0</v>
      </c>
      <c r="AY33" s="63">
        <f>BB33-AV33</f>
        <v>98195</v>
      </c>
      <c r="AZ33" s="67" t="e">
        <f t="shared" ref="AZ33:AZ34" si="202">(AY33/AX33-1)*100</f>
        <v>#DIV/0!</v>
      </c>
      <c r="BA33" s="66">
        <v>75212</v>
      </c>
      <c r="BB33" s="66">
        <v>465411</v>
      </c>
      <c r="BC33" s="67">
        <f t="shared" ref="BC33:BC34" si="203">(BB33/BA33-1)*100</f>
        <v>518.79886188374189</v>
      </c>
      <c r="BD33" s="63">
        <f>BG33-BA33</f>
        <v>5542</v>
      </c>
      <c r="BE33" s="63">
        <f>BH33-BB33</f>
        <v>38581</v>
      </c>
      <c r="BF33" s="67">
        <f t="shared" ref="BF33:BF34" si="204">(BE33/BD33-1)*100</f>
        <v>596.1566221580656</v>
      </c>
      <c r="BG33" s="66">
        <v>80754</v>
      </c>
      <c r="BH33" s="66">
        <v>503992</v>
      </c>
      <c r="BI33" s="67">
        <f t="shared" ref="BI33:BI34" si="205">(BH33/BG33-1)*100</f>
        <v>524.10778413453204</v>
      </c>
      <c r="BJ33" s="63">
        <f>BM33-BG33</f>
        <v>27000</v>
      </c>
      <c r="BK33" s="63">
        <f>BN33-BH33</f>
        <v>75751</v>
      </c>
      <c r="BL33" s="67">
        <f t="shared" ref="BL33:BL34" si="206">(BK33/BJ33-1)*100</f>
        <v>180.55925925925925</v>
      </c>
      <c r="BM33" s="66">
        <v>107754</v>
      </c>
      <c r="BN33" s="66">
        <v>579743</v>
      </c>
      <c r="BO33" s="67">
        <f t="shared" ref="BO33:BO34" si="207">(BN33/BM33-1)*100</f>
        <v>438.0245744937543</v>
      </c>
      <c r="BP33" s="63">
        <f>BS33-BM33</f>
        <v>9</v>
      </c>
      <c r="BQ33" s="63">
        <f>BT33-BN33</f>
        <v>39383</v>
      </c>
      <c r="BR33" s="67">
        <f t="shared" ref="BR33:BR34" si="208">(BQ33/BP33-1)*100</f>
        <v>437488.88888888888</v>
      </c>
      <c r="BS33" s="66">
        <v>107763</v>
      </c>
      <c r="BT33" s="66">
        <v>619126</v>
      </c>
      <c r="BU33" s="67">
        <f t="shared" ref="BU33:BU34" si="209">(BT33/BS33-1)*100</f>
        <v>474.52557928045803</v>
      </c>
      <c r="BV33" s="63">
        <f>BY33-BS33</f>
        <v>214571</v>
      </c>
      <c r="BW33" s="63">
        <f>BZ33-BT33</f>
        <v>59016</v>
      </c>
      <c r="BX33" s="67">
        <f t="shared" ref="BX33:BX34" si="210">(BW33/BV33-1)*100</f>
        <v>-72.4958172353207</v>
      </c>
      <c r="BY33" s="66">
        <v>322334</v>
      </c>
      <c r="BZ33" s="66">
        <v>678142</v>
      </c>
      <c r="CA33" s="67">
        <f t="shared" ref="CA33:CA34" si="211">(BZ33/BY33-1)*100</f>
        <v>110.38488027946167</v>
      </c>
      <c r="CB33" s="108"/>
    </row>
    <row r="34" spans="1:80" s="1" customFormat="1" ht="19.5" customHeight="1">
      <c r="A34" s="179"/>
      <c r="B34" s="115"/>
      <c r="C34" s="82" t="s">
        <v>104</v>
      </c>
      <c r="D34" s="17">
        <v>241459</v>
      </c>
      <c r="E34" s="17">
        <v>227630</v>
      </c>
      <c r="F34" s="17">
        <v>821317</v>
      </c>
      <c r="G34" s="17">
        <v>3887791</v>
      </c>
      <c r="H34" s="17">
        <v>7336184</v>
      </c>
      <c r="I34" s="17">
        <v>2117554</v>
      </c>
      <c r="J34" s="17">
        <v>1682716</v>
      </c>
      <c r="K34" s="17">
        <v>0</v>
      </c>
      <c r="L34" s="17">
        <v>279655</v>
      </c>
      <c r="M34" s="18" t="e">
        <f t="shared" si="0"/>
        <v>#DIV/0!</v>
      </c>
      <c r="N34" s="17">
        <f>Q34-K34</f>
        <v>435700</v>
      </c>
      <c r="O34" s="17">
        <f>R34-L34</f>
        <v>248747</v>
      </c>
      <c r="P34" s="68">
        <f t="shared" si="1"/>
        <v>-42.908652742712874</v>
      </c>
      <c r="Q34" s="17">
        <v>435700</v>
      </c>
      <c r="R34" s="17">
        <v>528402</v>
      </c>
      <c r="S34" s="68">
        <f t="shared" si="2"/>
        <v>21.276566444801471</v>
      </c>
      <c r="T34" s="17">
        <f>W34-Q34</f>
        <v>0</v>
      </c>
      <c r="U34" s="17">
        <f>X34-R34</f>
        <v>243491</v>
      </c>
      <c r="V34" s="68" t="e">
        <f t="shared" si="192"/>
        <v>#DIV/0!</v>
      </c>
      <c r="W34" s="17">
        <v>435700</v>
      </c>
      <c r="X34" s="17">
        <v>771893</v>
      </c>
      <c r="Y34" s="68">
        <f t="shared" si="193"/>
        <v>77.161579068166162</v>
      </c>
      <c r="Z34" s="17">
        <f>AC34-W34</f>
        <v>52842</v>
      </c>
      <c r="AA34" s="17">
        <f>AD34-X34</f>
        <v>191715</v>
      </c>
      <c r="AB34" s="68">
        <f t="shared" si="194"/>
        <v>262.8079936414216</v>
      </c>
      <c r="AC34" s="17">
        <v>488542</v>
      </c>
      <c r="AD34" s="17">
        <v>963608</v>
      </c>
      <c r="AE34" s="68">
        <f t="shared" si="195"/>
        <v>97.241588236016568</v>
      </c>
      <c r="AF34" s="17">
        <f>AI34-AC34</f>
        <v>0</v>
      </c>
      <c r="AG34" s="17">
        <f>AJ34-AD34</f>
        <v>332863</v>
      </c>
      <c r="AH34" s="68" t="e">
        <f t="shared" si="196"/>
        <v>#DIV/0!</v>
      </c>
      <c r="AI34" s="17">
        <v>488542</v>
      </c>
      <c r="AJ34" s="17">
        <v>1296471</v>
      </c>
      <c r="AK34" s="68">
        <f t="shared" si="197"/>
        <v>165.37554601242061</v>
      </c>
      <c r="AL34" s="17">
        <f>AO34-AI34</f>
        <v>0</v>
      </c>
      <c r="AM34" s="17">
        <f>AP34-AJ34</f>
        <v>353696</v>
      </c>
      <c r="AN34" s="68" t="e">
        <f t="shared" si="198"/>
        <v>#DIV/0!</v>
      </c>
      <c r="AO34" s="17">
        <v>488542</v>
      </c>
      <c r="AP34" s="17">
        <v>1650167</v>
      </c>
      <c r="AQ34" s="68">
        <f t="shared" si="199"/>
        <v>237.77382497308318</v>
      </c>
      <c r="AR34" s="17">
        <f>AU34-AO34</f>
        <v>80691</v>
      </c>
      <c r="AS34" s="17">
        <f>AV34-AP34</f>
        <v>366055</v>
      </c>
      <c r="AT34" s="68">
        <f t="shared" si="200"/>
        <v>353.65034514382023</v>
      </c>
      <c r="AU34" s="17">
        <v>569233</v>
      </c>
      <c r="AV34" s="17">
        <v>2016222</v>
      </c>
      <c r="AW34" s="68">
        <f t="shared" si="201"/>
        <v>254.19977408196647</v>
      </c>
      <c r="AX34" s="17">
        <f>BA34-AU34</f>
        <v>0</v>
      </c>
      <c r="AY34" s="17">
        <f>BB34-AV34</f>
        <v>664360</v>
      </c>
      <c r="AZ34" s="68" t="e">
        <f t="shared" si="202"/>
        <v>#DIV/0!</v>
      </c>
      <c r="BA34" s="17">
        <v>569233</v>
      </c>
      <c r="BB34" s="17">
        <v>2680582</v>
      </c>
      <c r="BC34" s="68">
        <f t="shared" si="203"/>
        <v>370.91120859120952</v>
      </c>
      <c r="BD34" s="17">
        <f>BG34-BA34</f>
        <v>53714</v>
      </c>
      <c r="BE34" s="17">
        <f>BH34-BB34</f>
        <v>260076</v>
      </c>
      <c r="BF34" s="68">
        <f t="shared" si="204"/>
        <v>384.18661801392557</v>
      </c>
      <c r="BG34" s="17">
        <v>622947</v>
      </c>
      <c r="BH34" s="17">
        <v>2940658</v>
      </c>
      <c r="BI34" s="68">
        <f t="shared" si="205"/>
        <v>372.05588918479418</v>
      </c>
      <c r="BJ34" s="17">
        <f>BM34-BG34</f>
        <v>40200</v>
      </c>
      <c r="BK34" s="17">
        <f>BN34-BH34</f>
        <v>572389</v>
      </c>
      <c r="BL34" s="68">
        <f t="shared" si="206"/>
        <v>1323.8532338308457</v>
      </c>
      <c r="BM34" s="17">
        <v>663147</v>
      </c>
      <c r="BN34" s="17">
        <v>3513047</v>
      </c>
      <c r="BO34" s="68">
        <f t="shared" si="207"/>
        <v>429.75388563923235</v>
      </c>
      <c r="BP34" s="17">
        <f>BS34-BM34</f>
        <v>396</v>
      </c>
      <c r="BQ34" s="17">
        <f>BT34-BN34</f>
        <v>280806</v>
      </c>
      <c r="BR34" s="68">
        <f t="shared" si="208"/>
        <v>70810.606060606064</v>
      </c>
      <c r="BS34" s="17">
        <v>663543</v>
      </c>
      <c r="BT34" s="17">
        <v>3793853</v>
      </c>
      <c r="BU34" s="68">
        <f t="shared" si="209"/>
        <v>471.75691703476639</v>
      </c>
      <c r="BV34" s="17">
        <f>BY34-BS34</f>
        <v>1019173</v>
      </c>
      <c r="BW34" s="17">
        <f>BZ34-BT34</f>
        <v>413104</v>
      </c>
      <c r="BX34" s="68">
        <f t="shared" si="210"/>
        <v>-59.466744115081546</v>
      </c>
      <c r="BY34" s="17">
        <v>1682716</v>
      </c>
      <c r="BZ34" s="17">
        <v>4206957</v>
      </c>
      <c r="CA34" s="68">
        <f t="shared" si="211"/>
        <v>150.00992443169258</v>
      </c>
      <c r="CB34" s="108"/>
    </row>
    <row r="35" spans="1:80" s="1" customFormat="1" ht="19.5" customHeight="1">
      <c r="A35" s="180"/>
      <c r="B35" s="116"/>
      <c r="C35" s="83" t="s">
        <v>105</v>
      </c>
      <c r="D35" s="64">
        <f t="shared" ref="D35:L35" si="212">D34/D33</f>
        <v>6.0319510367224582</v>
      </c>
      <c r="E35" s="64">
        <f t="shared" si="212"/>
        <v>11.335026391793646</v>
      </c>
      <c r="F35" s="64">
        <f t="shared" si="212"/>
        <v>17.095811997835227</v>
      </c>
      <c r="G35" s="64">
        <f t="shared" si="212"/>
        <v>2.5375453542082895</v>
      </c>
      <c r="H35" s="64">
        <f>H34/H33</f>
        <v>3.6277209078766943</v>
      </c>
      <c r="I35" s="64">
        <f>I34/I33</f>
        <v>9.1084643112154922</v>
      </c>
      <c r="J35" s="64">
        <f>J34/J33</f>
        <v>5.2204111263472051</v>
      </c>
      <c r="K35" s="64" t="e">
        <f t="shared" si="212"/>
        <v>#DIV/0!</v>
      </c>
      <c r="L35" s="64">
        <f t="shared" si="212"/>
        <v>4.7647890683568459</v>
      </c>
      <c r="M35" s="65"/>
      <c r="N35" s="64">
        <f>N34/N33</f>
        <v>7.2125014484596663</v>
      </c>
      <c r="O35" s="64">
        <f>O34/O33</f>
        <v>5.053881631077429</v>
      </c>
      <c r="P35" s="65"/>
      <c r="Q35" s="64">
        <f>Q34/Q33</f>
        <v>7.2125014484596663</v>
      </c>
      <c r="R35" s="64">
        <f>R34/R33</f>
        <v>4.8966463103854103</v>
      </c>
      <c r="S35" s="65"/>
      <c r="T35" s="64" t="e">
        <f>T34/T33</f>
        <v>#DIV/0!</v>
      </c>
      <c r="U35" s="64">
        <f>U34/U33</f>
        <v>5.2909821816601479</v>
      </c>
      <c r="V35" s="65"/>
      <c r="W35" s="64">
        <f>W34/W33</f>
        <v>7.2125014484596663</v>
      </c>
      <c r="X35" s="64">
        <f>X34/X33</f>
        <v>5.0145389817515644</v>
      </c>
      <c r="Y35" s="65"/>
      <c r="Z35" s="64">
        <f>Z34/Z33</f>
        <v>11.129317607413649</v>
      </c>
      <c r="AA35" s="64">
        <f>AA34/AA33</f>
        <v>4.9090978926074822</v>
      </c>
      <c r="AB35" s="65"/>
      <c r="AC35" s="64">
        <f>AC34/AC33</f>
        <v>7.497920407630799</v>
      </c>
      <c r="AD35" s="64">
        <f>AD34/AD33</f>
        <v>4.9932015089333834</v>
      </c>
      <c r="AE35" s="65"/>
      <c r="AF35" s="64" t="e">
        <f>AF34/AF33</f>
        <v>#DIV/0!</v>
      </c>
      <c r="AG35" s="64">
        <f>AG34/AG33</f>
        <v>5.7271679284239507</v>
      </c>
      <c r="AH35" s="65"/>
      <c r="AI35" s="64">
        <f>AI34/AI33</f>
        <v>7.497920407630799</v>
      </c>
      <c r="AJ35" s="64">
        <f>AJ34/AJ33</f>
        <v>5.1630838218427426</v>
      </c>
      <c r="AK35" s="65"/>
      <c r="AL35" s="64" t="e">
        <f>AL34/AL33</f>
        <v>#DIV/0!</v>
      </c>
      <c r="AM35" s="64">
        <f>AM34/AM33</f>
        <v>6.0928493910526953</v>
      </c>
      <c r="AN35" s="65"/>
      <c r="AO35" s="64">
        <f>AO34/AO33</f>
        <v>7.497920407630799</v>
      </c>
      <c r="AP35" s="64">
        <f>AP34/AP33</f>
        <v>5.3376688069091554</v>
      </c>
      <c r="AQ35" s="65"/>
      <c r="AR35" s="64">
        <f>AR34/AR33</f>
        <v>8.0249627051218297</v>
      </c>
      <c r="AS35" s="64">
        <f>AS34/AS33</f>
        <v>6.3046623378860165</v>
      </c>
      <c r="AT35" s="65"/>
      <c r="AU35" s="64">
        <f>AU34/AU33</f>
        <v>7.5683800457373822</v>
      </c>
      <c r="AV35" s="64">
        <f>AV34/AV33</f>
        <v>5.490561413446037</v>
      </c>
      <c r="AW35" s="65"/>
      <c r="AX35" s="64" t="e">
        <f>AX34/AX33</f>
        <v>#DIV/0!</v>
      </c>
      <c r="AY35" s="64">
        <f>AY34/AY33</f>
        <v>6.7657212689037118</v>
      </c>
      <c r="AZ35" s="65"/>
      <c r="BA35" s="64">
        <f>BA34/BA33</f>
        <v>7.5683800457373822</v>
      </c>
      <c r="BB35" s="64">
        <f>BB34/BB33</f>
        <v>5.7596017283648218</v>
      </c>
      <c r="BC35" s="65"/>
      <c r="BD35" s="64">
        <f>BD34/BD33</f>
        <v>9.6921688920967153</v>
      </c>
      <c r="BE35" s="64">
        <f>BE34/BE33</f>
        <v>6.7410383349317025</v>
      </c>
      <c r="BF35" s="65"/>
      <c r="BG35" s="64">
        <f>BG34/BG33</f>
        <v>7.7141318077123113</v>
      </c>
      <c r="BH35" s="64">
        <f>BH34/BH33</f>
        <v>5.8347315036746616</v>
      </c>
      <c r="BI35" s="65"/>
      <c r="BJ35" s="64">
        <f>BJ34/BJ33</f>
        <v>1.4888888888888889</v>
      </c>
      <c r="BK35" s="64">
        <f>BK34/BK33</f>
        <v>7.5561906773507941</v>
      </c>
      <c r="BL35" s="65"/>
      <c r="BM35" s="64">
        <f>BM34/BM33</f>
        <v>6.1542680550141986</v>
      </c>
      <c r="BN35" s="64">
        <f>BN34/BN33</f>
        <v>6.0596626436196726</v>
      </c>
      <c r="BO35" s="65"/>
      <c r="BP35" s="64">
        <f>BP34/BP33</f>
        <v>44</v>
      </c>
      <c r="BQ35" s="64">
        <f>BQ34/BQ33</f>
        <v>7.1301322905822309</v>
      </c>
      <c r="BR35" s="65"/>
      <c r="BS35" s="64">
        <f>BS34/BS33</f>
        <v>6.1574288020934826</v>
      </c>
      <c r="BT35" s="64">
        <f>BT34/BT33</f>
        <v>6.1277559010605271</v>
      </c>
      <c r="BU35" s="65"/>
      <c r="BV35" s="64">
        <f>BV34/BV33</f>
        <v>4.7498170768650008</v>
      </c>
      <c r="BW35" s="64">
        <f>BW34/BW33</f>
        <v>6.9998644435407344</v>
      </c>
      <c r="BX35" s="65"/>
      <c r="BY35" s="64">
        <f>BY34/BY33</f>
        <v>5.2204111263472051</v>
      </c>
      <c r="BZ35" s="64">
        <f>BZ34/BZ33</f>
        <v>6.2036520374788759</v>
      </c>
      <c r="CA35" s="65"/>
      <c r="CB35" s="108"/>
    </row>
    <row r="36" spans="1:80" s="1" customFormat="1" ht="19.5" customHeight="1">
      <c r="A36" s="178" t="s">
        <v>145</v>
      </c>
      <c r="B36" s="133">
        <v>8111</v>
      </c>
      <c r="C36" s="81" t="s">
        <v>42</v>
      </c>
      <c r="D36" s="66">
        <v>303424</v>
      </c>
      <c r="E36" s="66">
        <v>331075</v>
      </c>
      <c r="F36" s="66">
        <v>449184</v>
      </c>
      <c r="G36" s="66">
        <v>303537</v>
      </c>
      <c r="H36" s="66">
        <v>562827</v>
      </c>
      <c r="I36" s="66">
        <v>1269259</v>
      </c>
      <c r="J36" s="66">
        <v>12970569</v>
      </c>
      <c r="K36" s="66">
        <v>18306</v>
      </c>
      <c r="L36" s="66">
        <v>6679</v>
      </c>
      <c r="M36" s="15">
        <f t="shared" si="0"/>
        <v>-63.514694635638591</v>
      </c>
      <c r="N36" s="63">
        <f>Q36-K36</f>
        <v>7236</v>
      </c>
      <c r="O36" s="63">
        <f>R36-L36</f>
        <v>16505</v>
      </c>
      <c r="P36" s="15">
        <f t="shared" si="1"/>
        <v>128.0956329463792</v>
      </c>
      <c r="Q36" s="66">
        <v>25542</v>
      </c>
      <c r="R36" s="66">
        <v>23184</v>
      </c>
      <c r="S36" s="15">
        <f t="shared" si="2"/>
        <v>-9.2318534178999272</v>
      </c>
      <c r="T36" s="63">
        <f>W36-Q36</f>
        <v>440</v>
      </c>
      <c r="U36" s="63">
        <f>X36-R36</f>
        <v>8809</v>
      </c>
      <c r="V36" s="15">
        <f t="shared" ref="V36:V37" si="213">(U36/T36-1)*100</f>
        <v>1902.0454545454545</v>
      </c>
      <c r="W36" s="66">
        <v>25982</v>
      </c>
      <c r="X36" s="66">
        <v>31993</v>
      </c>
      <c r="Y36" s="15">
        <f t="shared" ref="Y36:Y37" si="214">(X36/W36-1)*100</f>
        <v>23.135247479023935</v>
      </c>
      <c r="Z36" s="63">
        <f>AC36-W36</f>
        <v>7533</v>
      </c>
      <c r="AA36" s="63">
        <f>AD36-X36</f>
        <v>20318</v>
      </c>
      <c r="AB36" s="15">
        <f t="shared" ref="AB36:AB37" si="215">(AA36/Z36-1)*100</f>
        <v>169.71989911058012</v>
      </c>
      <c r="AC36" s="66">
        <v>33515</v>
      </c>
      <c r="AD36" s="66">
        <v>52311</v>
      </c>
      <c r="AE36" s="15">
        <f t="shared" ref="AE36:AE37" si="216">(AD36/AC36-1)*100</f>
        <v>56.082351186036107</v>
      </c>
      <c r="AF36" s="63">
        <f>AI36-AC36</f>
        <v>152224</v>
      </c>
      <c r="AG36" s="63">
        <f>AJ36-AD36</f>
        <v>66481</v>
      </c>
      <c r="AH36" s="15">
        <f t="shared" ref="AH36:AH37" si="217">(AG36/AF36-1)*100</f>
        <v>-56.326860416228719</v>
      </c>
      <c r="AI36" s="66">
        <v>185739</v>
      </c>
      <c r="AJ36" s="66">
        <v>118792</v>
      </c>
      <c r="AK36" s="15">
        <f t="shared" ref="AK36:AK37" si="218">(AJ36/AI36-1)*100</f>
        <v>-36.043588045590859</v>
      </c>
      <c r="AL36" s="63">
        <f>AO36-AI36</f>
        <v>179419</v>
      </c>
      <c r="AM36" s="63">
        <f>AP36-AJ36</f>
        <v>22056</v>
      </c>
      <c r="AN36" s="15">
        <f t="shared" ref="AN36:AN37" si="219">(AM36/AL36-1)*100</f>
        <v>-87.706987554272402</v>
      </c>
      <c r="AO36" s="66">
        <v>365158</v>
      </c>
      <c r="AP36" s="66">
        <v>140848</v>
      </c>
      <c r="AQ36" s="15">
        <f t="shared" ref="AQ36:AQ37" si="220">(AP36/AO36-1)*100</f>
        <v>-61.428203681693951</v>
      </c>
      <c r="AR36" s="63">
        <f>AU36-AO36</f>
        <v>12580386</v>
      </c>
      <c r="AS36" s="63">
        <f>AV36-AP36</f>
        <v>2780</v>
      </c>
      <c r="AT36" s="15">
        <f t="shared" ref="AT36:AT37" si="221">(AS36/AR36-1)*100</f>
        <v>-99.977902108886013</v>
      </c>
      <c r="AU36" s="66">
        <v>12945544</v>
      </c>
      <c r="AV36" s="66">
        <v>143628</v>
      </c>
      <c r="AW36" s="15">
        <f t="shared" ref="AW36:AW37" si="222">(AV36/AU36-1)*100</f>
        <v>-98.890521711563451</v>
      </c>
      <c r="AX36" s="63">
        <f>BA36-AU36</f>
        <v>2947</v>
      </c>
      <c r="AY36" s="63">
        <f>BB36-AV36</f>
        <v>1226</v>
      </c>
      <c r="AZ36" s="15">
        <f t="shared" ref="AZ36:AZ37" si="223">(AY36/AX36-1)*100</f>
        <v>-58.398371224974554</v>
      </c>
      <c r="BA36" s="66">
        <v>12948491</v>
      </c>
      <c r="BB36" s="66">
        <v>144854</v>
      </c>
      <c r="BC36" s="15">
        <f t="shared" ref="BC36:BC37" si="224">(BB36/BA36-1)*100</f>
        <v>-98.881305937502688</v>
      </c>
      <c r="BD36" s="63">
        <f>BG36-BA36</f>
        <v>10469</v>
      </c>
      <c r="BE36" s="63">
        <f>BH36-BB36</f>
        <v>13847</v>
      </c>
      <c r="BF36" s="15">
        <f t="shared" ref="BF36:BF37" si="225">(BE36/BD36-1)*100</f>
        <v>32.266692138695198</v>
      </c>
      <c r="BG36" s="66">
        <v>12958960</v>
      </c>
      <c r="BH36" s="66">
        <v>158701</v>
      </c>
      <c r="BI36" s="15">
        <f t="shared" ref="BI36:BI37" si="226">(BH36/BG36-1)*100</f>
        <v>-98.775356973090439</v>
      </c>
      <c r="BJ36" s="63">
        <f>BM36-BG36</f>
        <v>6994</v>
      </c>
      <c r="BK36" s="63">
        <f>BN36-BH36</f>
        <v>33611325</v>
      </c>
      <c r="BL36" s="15">
        <f t="shared" ref="BL36:BL37" si="227">(BK36/BJ36-1)*100</f>
        <v>480473.70603374322</v>
      </c>
      <c r="BM36" s="66">
        <v>12965954</v>
      </c>
      <c r="BN36" s="66">
        <v>33770026</v>
      </c>
      <c r="BO36" s="15">
        <f t="shared" ref="BO36:BO37" si="228">(BN36/BM36-1)*100</f>
        <v>160.45153330021068</v>
      </c>
      <c r="BP36" s="63">
        <f>BS36-BM36</f>
        <v>2067</v>
      </c>
      <c r="BQ36" s="63">
        <f>BT36-BN36</f>
        <v>30502220</v>
      </c>
      <c r="BR36" s="15">
        <f t="shared" ref="BR36:BR37" si="229">(BQ36/BP36-1)*100</f>
        <v>1475575.8587324624</v>
      </c>
      <c r="BS36" s="66">
        <v>12968021</v>
      </c>
      <c r="BT36" s="66">
        <v>64272246</v>
      </c>
      <c r="BU36" s="15">
        <f t="shared" ref="BU36:BU37" si="230">(BT36/BS36-1)*100</f>
        <v>395.62108204482394</v>
      </c>
      <c r="BV36" s="63">
        <f>BY36-BS36</f>
        <v>2548</v>
      </c>
      <c r="BW36" s="63">
        <f>BZ36-BT36</f>
        <v>7704680</v>
      </c>
      <c r="BX36" s="15">
        <f t="shared" ref="BX36:BX37" si="231">(BW36/BV36-1)*100</f>
        <v>302281.47566718992</v>
      </c>
      <c r="BY36" s="66">
        <v>12970569</v>
      </c>
      <c r="BZ36" s="66">
        <v>71976926</v>
      </c>
      <c r="CA36" s="15">
        <f t="shared" ref="CA36:CA37" si="232">(BZ36/BY36-1)*100</f>
        <v>454.92496898170003</v>
      </c>
      <c r="CB36" s="108"/>
    </row>
    <row r="37" spans="1:80" s="1" customFormat="1" ht="19.5" customHeight="1">
      <c r="A37" s="179"/>
      <c r="B37" s="134"/>
      <c r="C37" s="82" t="s">
        <v>104</v>
      </c>
      <c r="D37" s="17">
        <v>515215</v>
      </c>
      <c r="E37" s="17">
        <v>1250639</v>
      </c>
      <c r="F37" s="17">
        <v>1897227</v>
      </c>
      <c r="G37" s="17">
        <v>1297406</v>
      </c>
      <c r="H37" s="17">
        <v>1509686</v>
      </c>
      <c r="I37" s="17">
        <v>3103112</v>
      </c>
      <c r="J37" s="17">
        <v>2092034</v>
      </c>
      <c r="K37" s="17">
        <v>103560</v>
      </c>
      <c r="L37" s="17">
        <v>61493</v>
      </c>
      <c r="M37" s="18">
        <f t="shared" si="0"/>
        <v>-40.620896098879875</v>
      </c>
      <c r="N37" s="17">
        <f>Q37-K37</f>
        <v>32729</v>
      </c>
      <c r="O37" s="17">
        <f>R37-L37</f>
        <v>108156</v>
      </c>
      <c r="P37" s="18">
        <f t="shared" si="1"/>
        <v>230.45922576308473</v>
      </c>
      <c r="Q37" s="17">
        <v>136289</v>
      </c>
      <c r="R37" s="17">
        <v>169649</v>
      </c>
      <c r="S37" s="18">
        <f t="shared" si="2"/>
        <v>24.477397295453041</v>
      </c>
      <c r="T37" s="17">
        <f>W37-Q37</f>
        <v>26666</v>
      </c>
      <c r="U37" s="17">
        <f>X37-R37</f>
        <v>46469</v>
      </c>
      <c r="V37" s="18">
        <f t="shared" si="213"/>
        <v>74.263106577664445</v>
      </c>
      <c r="W37" s="17">
        <v>162955</v>
      </c>
      <c r="X37" s="17">
        <v>216118</v>
      </c>
      <c r="Y37" s="18">
        <f t="shared" si="214"/>
        <v>32.624344144088859</v>
      </c>
      <c r="Z37" s="17">
        <f>AC37-W37</f>
        <v>80582</v>
      </c>
      <c r="AA37" s="17">
        <f>AD37-X37</f>
        <v>86701</v>
      </c>
      <c r="AB37" s="18">
        <f t="shared" si="215"/>
        <v>7.5935072348663368</v>
      </c>
      <c r="AC37" s="17">
        <v>243537</v>
      </c>
      <c r="AD37" s="17">
        <v>302819</v>
      </c>
      <c r="AE37" s="18">
        <f t="shared" si="216"/>
        <v>24.342091756078133</v>
      </c>
      <c r="AF37" s="17">
        <f>AI37-AC37</f>
        <v>353458</v>
      </c>
      <c r="AG37" s="17">
        <f>AJ37-AD37</f>
        <v>156042</v>
      </c>
      <c r="AH37" s="18">
        <f t="shared" si="217"/>
        <v>-55.852746295175095</v>
      </c>
      <c r="AI37" s="17">
        <v>596995</v>
      </c>
      <c r="AJ37" s="17">
        <v>458861</v>
      </c>
      <c r="AK37" s="18">
        <f t="shared" si="218"/>
        <v>-23.138217238000315</v>
      </c>
      <c r="AL37" s="17">
        <f>AO37-AI37</f>
        <v>401247</v>
      </c>
      <c r="AM37" s="17">
        <f>AP37-AJ37</f>
        <v>100447</v>
      </c>
      <c r="AN37" s="18">
        <f t="shared" si="219"/>
        <v>-74.966292582872896</v>
      </c>
      <c r="AO37" s="17">
        <v>998242</v>
      </c>
      <c r="AP37" s="17">
        <v>559308</v>
      </c>
      <c r="AQ37" s="18">
        <f t="shared" si="220"/>
        <v>-43.970700491464001</v>
      </c>
      <c r="AR37" s="17">
        <f>AU37-AO37</f>
        <v>890942</v>
      </c>
      <c r="AS37" s="17">
        <f>AV37-AP37</f>
        <v>52451</v>
      </c>
      <c r="AT37" s="18">
        <f t="shared" si="221"/>
        <v>-94.112860320873864</v>
      </c>
      <c r="AU37" s="17">
        <v>1889184</v>
      </c>
      <c r="AV37" s="17">
        <v>611759</v>
      </c>
      <c r="AW37" s="18">
        <f t="shared" si="222"/>
        <v>-67.617818063248464</v>
      </c>
      <c r="AX37" s="17">
        <f>BA37-AU37</f>
        <v>37866</v>
      </c>
      <c r="AY37" s="17">
        <f>BB37-AV37</f>
        <v>16673</v>
      </c>
      <c r="AZ37" s="18">
        <f t="shared" si="223"/>
        <v>-55.968414936882695</v>
      </c>
      <c r="BA37" s="17">
        <v>1927050</v>
      </c>
      <c r="BB37" s="17">
        <v>628432</v>
      </c>
      <c r="BC37" s="18">
        <f t="shared" si="224"/>
        <v>-67.388910510884514</v>
      </c>
      <c r="BD37" s="17">
        <f>BG37-BA37</f>
        <v>67373</v>
      </c>
      <c r="BE37" s="17">
        <f>BH37-BB37</f>
        <v>97304</v>
      </c>
      <c r="BF37" s="18">
        <f t="shared" si="225"/>
        <v>44.42580855832454</v>
      </c>
      <c r="BG37" s="17">
        <v>1994423</v>
      </c>
      <c r="BH37" s="17">
        <v>725736</v>
      </c>
      <c r="BI37" s="18">
        <f t="shared" si="226"/>
        <v>-63.611731312765649</v>
      </c>
      <c r="BJ37" s="17">
        <f>BM37-BG37</f>
        <v>38156</v>
      </c>
      <c r="BK37" s="17">
        <f>BN37-BH37</f>
        <v>959150</v>
      </c>
      <c r="BL37" s="18">
        <f t="shared" si="227"/>
        <v>2413.7593039102635</v>
      </c>
      <c r="BM37" s="17">
        <v>2032579</v>
      </c>
      <c r="BN37" s="17">
        <v>1684886</v>
      </c>
      <c r="BO37" s="18">
        <f t="shared" si="228"/>
        <v>-17.106001783940506</v>
      </c>
      <c r="BP37" s="17">
        <f>BS37-BM37</f>
        <v>25557</v>
      </c>
      <c r="BQ37" s="17">
        <f>BT37-BN37</f>
        <v>831063</v>
      </c>
      <c r="BR37" s="18">
        <f t="shared" si="229"/>
        <v>3151.8018546777789</v>
      </c>
      <c r="BS37" s="17">
        <v>2058136</v>
      </c>
      <c r="BT37" s="17">
        <v>2515949</v>
      </c>
      <c r="BU37" s="18">
        <f t="shared" si="230"/>
        <v>22.244059673413229</v>
      </c>
      <c r="BV37" s="17">
        <f>BY37-BS37</f>
        <v>33898</v>
      </c>
      <c r="BW37" s="17">
        <f>BZ37-BT37</f>
        <v>226848</v>
      </c>
      <c r="BX37" s="18">
        <f t="shared" si="231"/>
        <v>569.20762286860577</v>
      </c>
      <c r="BY37" s="17">
        <v>2092034</v>
      </c>
      <c r="BZ37" s="17">
        <v>2742797</v>
      </c>
      <c r="CA37" s="18">
        <f t="shared" si="232"/>
        <v>31.106712414807781</v>
      </c>
      <c r="CB37" s="108"/>
    </row>
    <row r="38" spans="1:80" s="1" customFormat="1" ht="19.5" customHeight="1">
      <c r="A38" s="180"/>
      <c r="B38" s="135"/>
      <c r="C38" s="83" t="s">
        <v>105</v>
      </c>
      <c r="D38" s="64">
        <f t="shared" ref="D38:L38" si="233">D37/D36</f>
        <v>1.6980034539126767</v>
      </c>
      <c r="E38" s="64">
        <f t="shared" si="233"/>
        <v>3.7775096277278561</v>
      </c>
      <c r="F38" s="64">
        <f t="shared" si="233"/>
        <v>4.2237190104723235</v>
      </c>
      <c r="G38" s="64">
        <f t="shared" si="233"/>
        <v>4.2742927550842236</v>
      </c>
      <c r="H38" s="64">
        <f>H37/H36</f>
        <v>2.6823268961865723</v>
      </c>
      <c r="I38" s="64">
        <f>I37/I36</f>
        <v>2.4448217424497285</v>
      </c>
      <c r="J38" s="64">
        <f>J37/J36</f>
        <v>0.16129084236782518</v>
      </c>
      <c r="K38" s="64">
        <f t="shared" si="233"/>
        <v>5.6571615863651266</v>
      </c>
      <c r="L38" s="64">
        <f t="shared" si="233"/>
        <v>9.2069172031741271</v>
      </c>
      <c r="M38" s="65"/>
      <c r="N38" s="64">
        <f>N37/N36</f>
        <v>4.5230790491984525</v>
      </c>
      <c r="O38" s="64">
        <f>O37/O36</f>
        <v>6.5529233565586189</v>
      </c>
      <c r="P38" s="65"/>
      <c r="Q38" s="64">
        <f>Q37/Q36</f>
        <v>5.335878161459557</v>
      </c>
      <c r="R38" s="64">
        <f>R37/R36</f>
        <v>7.3175034506556242</v>
      </c>
      <c r="S38" s="65"/>
      <c r="T38" s="64">
        <f>T37/T36</f>
        <v>60.604545454545452</v>
      </c>
      <c r="U38" s="64">
        <f>U37/U36</f>
        <v>5.2751731184016348</v>
      </c>
      <c r="V38" s="65"/>
      <c r="W38" s="64">
        <f>W37/W36</f>
        <v>6.2718420444923408</v>
      </c>
      <c r="X38" s="64">
        <f>X37/X36</f>
        <v>6.7551651923858342</v>
      </c>
      <c r="Y38" s="65"/>
      <c r="Z38" s="64">
        <f>Z37/Z36</f>
        <v>10.6971989911058</v>
      </c>
      <c r="AA38" s="64">
        <f>AA37/AA36</f>
        <v>4.2672014962102569</v>
      </c>
      <c r="AB38" s="65"/>
      <c r="AC38" s="64">
        <f>AC37/AC36</f>
        <v>7.2665075339400271</v>
      </c>
      <c r="AD38" s="64">
        <f>AD37/AD36</f>
        <v>5.7888207069258852</v>
      </c>
      <c r="AE38" s="65"/>
      <c r="AF38" s="64">
        <f>AF37/AF36</f>
        <v>2.3219597435358419</v>
      </c>
      <c r="AG38" s="64">
        <f>AG37/AG36</f>
        <v>2.3471668597042763</v>
      </c>
      <c r="AH38" s="65"/>
      <c r="AI38" s="64">
        <f>AI37/AI36</f>
        <v>3.2141607309181164</v>
      </c>
      <c r="AJ38" s="64">
        <f>AJ37/AJ36</f>
        <v>3.8627264462253352</v>
      </c>
      <c r="AK38" s="65"/>
      <c r="AL38" s="64">
        <f>AL37/AL36</f>
        <v>2.2363685005489944</v>
      </c>
      <c r="AM38" s="64">
        <f>AM37/AM36</f>
        <v>4.5541802684076895</v>
      </c>
      <c r="AN38" s="65"/>
      <c r="AO38" s="64">
        <f>AO37/AO36</f>
        <v>2.7337262226214407</v>
      </c>
      <c r="AP38" s="64">
        <f>AP37/AP36</f>
        <v>3.9710042031125754</v>
      </c>
      <c r="AQ38" s="65"/>
      <c r="AR38" s="64">
        <f>AR37/AR36</f>
        <v>7.0819925557133137E-2</v>
      </c>
      <c r="AS38" s="64">
        <f>AS37/AS36</f>
        <v>18.867266187050358</v>
      </c>
      <c r="AT38" s="65"/>
      <c r="AU38" s="64">
        <f>AU37/AU36</f>
        <v>0.14593314888891498</v>
      </c>
      <c r="AV38" s="64">
        <f>AV37/AV36</f>
        <v>4.2593296571699115</v>
      </c>
      <c r="AW38" s="65"/>
      <c r="AX38" s="64">
        <f>AX37/AX36</f>
        <v>12.848998982015608</v>
      </c>
      <c r="AY38" s="64">
        <f>AY37/AY36</f>
        <v>13.599510603588907</v>
      </c>
      <c r="AZ38" s="65"/>
      <c r="BA38" s="64">
        <f>BA37/BA36</f>
        <v>0.1488242915718905</v>
      </c>
      <c r="BB38" s="64">
        <f>BB37/BB36</f>
        <v>4.3383820950750414</v>
      </c>
      <c r="BC38" s="65"/>
      <c r="BD38" s="64">
        <f>BD37/BD36</f>
        <v>6.4354761677333077</v>
      </c>
      <c r="BE38" s="64">
        <f>BE37/BE36</f>
        <v>7.0270816783418795</v>
      </c>
      <c r="BF38" s="65"/>
      <c r="BG38" s="64">
        <f>BG37/BG36</f>
        <v>0.15390301382209684</v>
      </c>
      <c r="BH38" s="64">
        <f>BH37/BH36</f>
        <v>4.5729768558484194</v>
      </c>
      <c r="BI38" s="65"/>
      <c r="BJ38" s="64">
        <f>BJ37/BJ36</f>
        <v>5.455533314269374</v>
      </c>
      <c r="BK38" s="64">
        <f>BK37/BK36</f>
        <v>2.853651261888664E-2</v>
      </c>
      <c r="BL38" s="65"/>
      <c r="BM38" s="64">
        <f>BM37/BM36</f>
        <v>0.1567627804325081</v>
      </c>
      <c r="BN38" s="64">
        <f>BN37/BN36</f>
        <v>4.9892943523348193E-2</v>
      </c>
      <c r="BO38" s="65"/>
      <c r="BP38" s="64">
        <f>BP37/BP36</f>
        <v>12.364296081277214</v>
      </c>
      <c r="BQ38" s="64">
        <f>BQ37/BQ36</f>
        <v>2.7245984062799364E-2</v>
      </c>
      <c r="BR38" s="65"/>
      <c r="BS38" s="64">
        <f>BS37/BS36</f>
        <v>0.15870856470698189</v>
      </c>
      <c r="BT38" s="64">
        <f>BT37/BT36</f>
        <v>3.9145185621800117E-2</v>
      </c>
      <c r="BU38" s="65"/>
      <c r="BV38" s="64">
        <f>BV37/BV36</f>
        <v>13.303767660910518</v>
      </c>
      <c r="BW38" s="64">
        <f>BW37/BW36</f>
        <v>2.9442884065269421E-2</v>
      </c>
      <c r="BX38" s="65"/>
      <c r="BY38" s="64">
        <f>BY37/BY36</f>
        <v>0.16129084236782518</v>
      </c>
      <c r="BZ38" s="64">
        <f>BZ37/BZ36</f>
        <v>3.8106614889332729E-2</v>
      </c>
      <c r="CA38" s="65"/>
      <c r="CB38" s="108"/>
    </row>
    <row r="39" spans="1:80" s="1" customFormat="1" ht="19.5" customHeight="1">
      <c r="A39" s="178" t="s">
        <v>146</v>
      </c>
      <c r="B39" s="133" t="s">
        <v>128</v>
      </c>
      <c r="C39" s="81" t="s">
        <v>42</v>
      </c>
      <c r="D39" s="66">
        <v>10.7</v>
      </c>
      <c r="E39" s="66">
        <v>1137.5</v>
      </c>
      <c r="F39" s="66">
        <v>1254</v>
      </c>
      <c r="G39" s="66">
        <v>4</v>
      </c>
      <c r="H39" s="66">
        <v>16</v>
      </c>
      <c r="I39" s="66">
        <v>12</v>
      </c>
      <c r="J39" s="66">
        <v>87</v>
      </c>
      <c r="K39" s="66">
        <v>75</v>
      </c>
      <c r="L39" s="66">
        <v>0</v>
      </c>
      <c r="M39" s="15">
        <f t="shared" si="0"/>
        <v>-100</v>
      </c>
      <c r="N39" s="63">
        <f>Q39-K39</f>
        <v>0</v>
      </c>
      <c r="O39" s="63">
        <f>R39-L39</f>
        <v>0</v>
      </c>
      <c r="P39" s="15" t="e">
        <f t="shared" si="1"/>
        <v>#DIV/0!</v>
      </c>
      <c r="Q39" s="66">
        <v>75</v>
      </c>
      <c r="R39" s="66">
        <v>0</v>
      </c>
      <c r="S39" s="15">
        <f t="shared" si="2"/>
        <v>-100</v>
      </c>
      <c r="T39" s="63">
        <f>W39-Q39</f>
        <v>0</v>
      </c>
      <c r="U39" s="63">
        <f>X39-R39</f>
        <v>14</v>
      </c>
      <c r="V39" s="15" t="e">
        <f t="shared" ref="V39:V40" si="234">(U39/T39-1)*100</f>
        <v>#DIV/0!</v>
      </c>
      <c r="W39" s="66">
        <v>75</v>
      </c>
      <c r="X39" s="66">
        <v>14</v>
      </c>
      <c r="Y39" s="15">
        <f t="shared" ref="Y39:Y40" si="235">(X39/W39-1)*100</f>
        <v>-81.333333333333329</v>
      </c>
      <c r="Z39" s="63">
        <f>AC39-W39</f>
        <v>0</v>
      </c>
      <c r="AA39" s="63">
        <f>AD39-X39</f>
        <v>0</v>
      </c>
      <c r="AB39" s="15" t="e">
        <f t="shared" ref="AB39:AB40" si="236">(AA39/Z39-1)*100</f>
        <v>#DIV/0!</v>
      </c>
      <c r="AC39" s="66">
        <v>75</v>
      </c>
      <c r="AD39" s="66">
        <v>14</v>
      </c>
      <c r="AE39" s="15">
        <f t="shared" ref="AE39:AE40" si="237">(AD39/AC39-1)*100</f>
        <v>-81.333333333333329</v>
      </c>
      <c r="AF39" s="63">
        <f>AI39-AC39</f>
        <v>0</v>
      </c>
      <c r="AG39" s="63">
        <f>AJ39-AD39</f>
        <v>0</v>
      </c>
      <c r="AH39" s="15" t="e">
        <f t="shared" ref="AH39:AH40" si="238">(AG39/AF39-1)*100</f>
        <v>#DIV/0!</v>
      </c>
      <c r="AI39" s="66">
        <v>75</v>
      </c>
      <c r="AJ39" s="66">
        <v>14</v>
      </c>
      <c r="AK39" s="15">
        <f t="shared" ref="AK39:AK40" si="239">(AJ39/AI39-1)*100</f>
        <v>-81.333333333333329</v>
      </c>
      <c r="AL39" s="63">
        <f>AO39-AI39</f>
        <v>0</v>
      </c>
      <c r="AM39" s="63">
        <f>AP39-AJ39</f>
        <v>0</v>
      </c>
      <c r="AN39" s="15" t="e">
        <f t="shared" ref="AN39:AN40" si="240">(AM39/AL39-1)*100</f>
        <v>#DIV/0!</v>
      </c>
      <c r="AO39" s="66">
        <v>75</v>
      </c>
      <c r="AP39" s="66">
        <v>14</v>
      </c>
      <c r="AQ39" s="15">
        <f t="shared" ref="AQ39:AQ40" si="241">(AP39/AO39-1)*100</f>
        <v>-81.333333333333329</v>
      </c>
      <c r="AR39" s="63">
        <f>AU39-AO39</f>
        <v>0</v>
      </c>
      <c r="AS39" s="63">
        <f>AV39-AP39</f>
        <v>0</v>
      </c>
      <c r="AT39" s="15" t="e">
        <f t="shared" ref="AT39:AT40" si="242">(AS39/AR39-1)*100</f>
        <v>#DIV/0!</v>
      </c>
      <c r="AU39" s="66">
        <v>75</v>
      </c>
      <c r="AV39" s="66">
        <v>14</v>
      </c>
      <c r="AW39" s="15">
        <f t="shared" ref="AW39:AW40" si="243">(AV39/AU39-1)*100</f>
        <v>-81.333333333333329</v>
      </c>
      <c r="AX39" s="63">
        <f>BA39-AU39</f>
        <v>12</v>
      </c>
      <c r="AY39" s="63">
        <f>BB39-AV39</f>
        <v>0</v>
      </c>
      <c r="AZ39" s="15">
        <f t="shared" ref="AZ39:AZ40" si="244">(AY39/AX39-1)*100</f>
        <v>-100</v>
      </c>
      <c r="BA39" s="66">
        <v>87</v>
      </c>
      <c r="BB39" s="66">
        <v>14</v>
      </c>
      <c r="BC39" s="15">
        <f t="shared" ref="BC39:BC40" si="245">(BB39/BA39-1)*100</f>
        <v>-83.908045977011497</v>
      </c>
      <c r="BD39" s="63">
        <f>BG39-BA39</f>
        <v>0</v>
      </c>
      <c r="BE39" s="63">
        <f>BH39-BB39</f>
        <v>0</v>
      </c>
      <c r="BF39" s="15" t="e">
        <f t="shared" ref="BF39:BF40" si="246">(BE39/BD39-1)*100</f>
        <v>#DIV/0!</v>
      </c>
      <c r="BG39" s="66">
        <v>87</v>
      </c>
      <c r="BH39" s="66">
        <v>14</v>
      </c>
      <c r="BI39" s="15">
        <f t="shared" ref="BI39:BI40" si="247">(BH39/BG39-1)*100</f>
        <v>-83.908045977011497</v>
      </c>
      <c r="BJ39" s="63">
        <f>BM39-BG39</f>
        <v>0</v>
      </c>
      <c r="BK39" s="63">
        <f>BN39-BH39</f>
        <v>3</v>
      </c>
      <c r="BL39" s="15" t="e">
        <f t="shared" ref="BL39:BL40" si="248">(BK39/BJ39-1)*100</f>
        <v>#DIV/0!</v>
      </c>
      <c r="BM39" s="66">
        <v>87</v>
      </c>
      <c r="BN39" s="66">
        <v>17</v>
      </c>
      <c r="BO39" s="15">
        <f t="shared" ref="BO39:BO40" si="249">(BN39/BM39-1)*100</f>
        <v>-80.459770114942529</v>
      </c>
      <c r="BP39" s="63">
        <f>BS39-BM39</f>
        <v>0</v>
      </c>
      <c r="BQ39" s="63">
        <f>BT39-BN39</f>
        <v>0</v>
      </c>
      <c r="BR39" s="15" t="e">
        <f t="shared" ref="BR39:BR40" si="250">(BQ39/BP39-1)*100</f>
        <v>#DIV/0!</v>
      </c>
      <c r="BS39" s="66">
        <v>87</v>
      </c>
      <c r="BT39" s="66">
        <v>17</v>
      </c>
      <c r="BU39" s="15">
        <f t="shared" ref="BU39:BU40" si="251">(BT39/BS39-1)*100</f>
        <v>-80.459770114942529</v>
      </c>
      <c r="BV39" s="63">
        <f>BY39-BS39</f>
        <v>0</v>
      </c>
      <c r="BW39" s="63">
        <f>BZ39-BT39</f>
        <v>16</v>
      </c>
      <c r="BX39" s="15" t="e">
        <f t="shared" ref="BX39:BX40" si="252">(BW39/BV39-1)*100</f>
        <v>#DIV/0!</v>
      </c>
      <c r="BY39" s="66">
        <v>87</v>
      </c>
      <c r="BZ39" s="66">
        <v>33</v>
      </c>
      <c r="CA39" s="15">
        <f t="shared" ref="CA39:CA40" si="253">(BZ39/BY39-1)*100</f>
        <v>-62.068965517241381</v>
      </c>
      <c r="CB39" s="108"/>
    </row>
    <row r="40" spans="1:80" s="1" customFormat="1" ht="19.5" customHeight="1">
      <c r="A40" s="179"/>
      <c r="B40" s="134"/>
      <c r="C40" s="82" t="s">
        <v>104</v>
      </c>
      <c r="D40" s="17">
        <v>27972</v>
      </c>
      <c r="E40" s="17">
        <v>53873</v>
      </c>
      <c r="F40" s="17">
        <v>73517</v>
      </c>
      <c r="G40" s="17">
        <v>3196</v>
      </c>
      <c r="H40" s="17">
        <v>5339</v>
      </c>
      <c r="I40" s="17">
        <v>10391</v>
      </c>
      <c r="J40" s="17">
        <v>31755</v>
      </c>
      <c r="K40" s="17">
        <v>27650</v>
      </c>
      <c r="L40" s="17">
        <v>0</v>
      </c>
      <c r="M40" s="18">
        <f t="shared" si="0"/>
        <v>-100</v>
      </c>
      <c r="N40" s="17">
        <f>Q40-K40</f>
        <v>0</v>
      </c>
      <c r="O40" s="17">
        <f>R40-L40</f>
        <v>0</v>
      </c>
      <c r="P40" s="18" t="e">
        <f t="shared" si="1"/>
        <v>#DIV/0!</v>
      </c>
      <c r="Q40" s="17">
        <v>27650</v>
      </c>
      <c r="R40" s="17">
        <v>0</v>
      </c>
      <c r="S40" s="18">
        <f t="shared" si="2"/>
        <v>-100</v>
      </c>
      <c r="T40" s="17">
        <f>W40-Q40</f>
        <v>0</v>
      </c>
      <c r="U40" s="17">
        <f>X40-R40</f>
        <v>797</v>
      </c>
      <c r="V40" s="18" t="e">
        <f t="shared" si="234"/>
        <v>#DIV/0!</v>
      </c>
      <c r="W40" s="17">
        <v>27650</v>
      </c>
      <c r="X40" s="17">
        <v>797</v>
      </c>
      <c r="Y40" s="18">
        <f t="shared" si="235"/>
        <v>-97.11754068716094</v>
      </c>
      <c r="Z40" s="17">
        <f>AC40-W40</f>
        <v>0</v>
      </c>
      <c r="AA40" s="17">
        <f>AD40-X40</f>
        <v>0</v>
      </c>
      <c r="AB40" s="18" t="e">
        <f t="shared" si="236"/>
        <v>#DIV/0!</v>
      </c>
      <c r="AC40" s="17">
        <v>27650</v>
      </c>
      <c r="AD40" s="17">
        <v>797</v>
      </c>
      <c r="AE40" s="18">
        <f t="shared" si="237"/>
        <v>-97.11754068716094</v>
      </c>
      <c r="AF40" s="17">
        <f>AI40-AC40</f>
        <v>0</v>
      </c>
      <c r="AG40" s="17">
        <f>AJ40-AD40</f>
        <v>0</v>
      </c>
      <c r="AH40" s="18" t="e">
        <f t="shared" si="238"/>
        <v>#DIV/0!</v>
      </c>
      <c r="AI40" s="17">
        <v>27650</v>
      </c>
      <c r="AJ40" s="17">
        <v>797</v>
      </c>
      <c r="AK40" s="18">
        <f t="shared" si="239"/>
        <v>-97.11754068716094</v>
      </c>
      <c r="AL40" s="17">
        <f>AO40-AI40</f>
        <v>0</v>
      </c>
      <c r="AM40" s="17">
        <f>AP40-AJ40</f>
        <v>0</v>
      </c>
      <c r="AN40" s="18" t="e">
        <f t="shared" si="240"/>
        <v>#DIV/0!</v>
      </c>
      <c r="AO40" s="17">
        <v>27650</v>
      </c>
      <c r="AP40" s="17">
        <v>797</v>
      </c>
      <c r="AQ40" s="18">
        <f t="shared" si="241"/>
        <v>-97.11754068716094</v>
      </c>
      <c r="AR40" s="17">
        <f>AU40-AO40</f>
        <v>0</v>
      </c>
      <c r="AS40" s="17">
        <f>AV40-AP40</f>
        <v>0</v>
      </c>
      <c r="AT40" s="18" t="e">
        <f t="shared" si="242"/>
        <v>#DIV/0!</v>
      </c>
      <c r="AU40" s="17">
        <v>27650</v>
      </c>
      <c r="AV40" s="17">
        <v>797</v>
      </c>
      <c r="AW40" s="18">
        <f t="shared" si="243"/>
        <v>-97.11754068716094</v>
      </c>
      <c r="AX40" s="17">
        <f>BA40-AU40</f>
        <v>4105</v>
      </c>
      <c r="AY40" s="17">
        <f>BB40-AV40</f>
        <v>0</v>
      </c>
      <c r="AZ40" s="18">
        <f t="shared" si="244"/>
        <v>-100</v>
      </c>
      <c r="BA40" s="17">
        <v>31755</v>
      </c>
      <c r="BB40" s="17">
        <v>797</v>
      </c>
      <c r="BC40" s="18">
        <f t="shared" si="245"/>
        <v>-97.490159030074011</v>
      </c>
      <c r="BD40" s="17">
        <f>BG40-BA40</f>
        <v>0</v>
      </c>
      <c r="BE40" s="17">
        <f>BH40-BB40</f>
        <v>0</v>
      </c>
      <c r="BF40" s="18" t="e">
        <f t="shared" si="246"/>
        <v>#DIV/0!</v>
      </c>
      <c r="BG40" s="17">
        <v>31755</v>
      </c>
      <c r="BH40" s="17">
        <v>797</v>
      </c>
      <c r="BI40" s="18">
        <f t="shared" si="247"/>
        <v>-97.490159030074011</v>
      </c>
      <c r="BJ40" s="17">
        <f>BM40-BG40</f>
        <v>0</v>
      </c>
      <c r="BK40" s="17">
        <f>BN40-BH40</f>
        <v>194</v>
      </c>
      <c r="BL40" s="18" t="e">
        <f t="shared" si="248"/>
        <v>#DIV/0!</v>
      </c>
      <c r="BM40" s="17">
        <v>31755</v>
      </c>
      <c r="BN40" s="17">
        <v>991</v>
      </c>
      <c r="BO40" s="18">
        <f t="shared" si="249"/>
        <v>-96.879231617068172</v>
      </c>
      <c r="BP40" s="17">
        <f>BS40-BM40</f>
        <v>0</v>
      </c>
      <c r="BQ40" s="17">
        <f>BT40-BN40</f>
        <v>0</v>
      </c>
      <c r="BR40" s="18" t="e">
        <f t="shared" si="250"/>
        <v>#DIV/0!</v>
      </c>
      <c r="BS40" s="17">
        <v>31755</v>
      </c>
      <c r="BT40" s="17">
        <v>991</v>
      </c>
      <c r="BU40" s="18">
        <f t="shared" si="251"/>
        <v>-96.879231617068172</v>
      </c>
      <c r="BV40" s="17">
        <f>BY40-BS40</f>
        <v>0</v>
      </c>
      <c r="BW40" s="17">
        <f>BZ40-BT40</f>
        <v>791</v>
      </c>
      <c r="BX40" s="18" t="e">
        <f t="shared" si="252"/>
        <v>#DIV/0!</v>
      </c>
      <c r="BY40" s="17">
        <v>31755</v>
      </c>
      <c r="BZ40" s="17">
        <v>1782</v>
      </c>
      <c r="CA40" s="18">
        <f t="shared" si="253"/>
        <v>-94.388285309400104</v>
      </c>
      <c r="CB40" s="108"/>
    </row>
    <row r="41" spans="1:80" s="1" customFormat="1" ht="19.5" customHeight="1">
      <c r="A41" s="180"/>
      <c r="B41" s="135"/>
      <c r="C41" s="83" t="s">
        <v>105</v>
      </c>
      <c r="D41" s="64">
        <f t="shared" ref="D41:L41" si="254">D40/D39</f>
        <v>2614.2056074766356</v>
      </c>
      <c r="E41" s="64">
        <f t="shared" si="254"/>
        <v>47.360879120879119</v>
      </c>
      <c r="F41" s="64">
        <f t="shared" si="254"/>
        <v>58.625996810207333</v>
      </c>
      <c r="G41" s="64">
        <f t="shared" si="254"/>
        <v>799</v>
      </c>
      <c r="H41" s="64">
        <f>H40/H39</f>
        <v>333.6875</v>
      </c>
      <c r="I41" s="64">
        <f>I40/I39</f>
        <v>865.91666666666663</v>
      </c>
      <c r="J41" s="64">
        <f>J40/J39</f>
        <v>365</v>
      </c>
      <c r="K41" s="64">
        <f t="shared" si="254"/>
        <v>368.66666666666669</v>
      </c>
      <c r="L41" s="64" t="e">
        <f t="shared" si="254"/>
        <v>#DIV/0!</v>
      </c>
      <c r="M41" s="65"/>
      <c r="N41" s="64" t="e">
        <f>N40/N39</f>
        <v>#DIV/0!</v>
      </c>
      <c r="O41" s="64" t="e">
        <f>O40/O39</f>
        <v>#DIV/0!</v>
      </c>
      <c r="P41" s="65"/>
      <c r="Q41" s="64">
        <f>Q40/Q39</f>
        <v>368.66666666666669</v>
      </c>
      <c r="R41" s="64" t="e">
        <f>R40/R39</f>
        <v>#DIV/0!</v>
      </c>
      <c r="S41" s="65"/>
      <c r="T41" s="64" t="e">
        <f>T40/T39</f>
        <v>#DIV/0!</v>
      </c>
      <c r="U41" s="64">
        <f>U40/U39</f>
        <v>56.928571428571431</v>
      </c>
      <c r="V41" s="65"/>
      <c r="W41" s="64">
        <f>W40/W39</f>
        <v>368.66666666666669</v>
      </c>
      <c r="X41" s="64">
        <f>X40/X39</f>
        <v>56.928571428571431</v>
      </c>
      <c r="Y41" s="65"/>
      <c r="Z41" s="64" t="e">
        <f>Z40/Z39</f>
        <v>#DIV/0!</v>
      </c>
      <c r="AA41" s="64" t="e">
        <f>AA40/AA39</f>
        <v>#DIV/0!</v>
      </c>
      <c r="AB41" s="65"/>
      <c r="AC41" s="64">
        <f>AC40/AC39</f>
        <v>368.66666666666669</v>
      </c>
      <c r="AD41" s="64">
        <f>AD40/AD39</f>
        <v>56.928571428571431</v>
      </c>
      <c r="AE41" s="65"/>
      <c r="AF41" s="64" t="e">
        <f>AF40/AF39</f>
        <v>#DIV/0!</v>
      </c>
      <c r="AG41" s="64" t="e">
        <f>AG40/AG39</f>
        <v>#DIV/0!</v>
      </c>
      <c r="AH41" s="65"/>
      <c r="AI41" s="64">
        <f>AI40/AI39</f>
        <v>368.66666666666669</v>
      </c>
      <c r="AJ41" s="64">
        <f>AJ40/AJ39</f>
        <v>56.928571428571431</v>
      </c>
      <c r="AK41" s="65"/>
      <c r="AL41" s="64" t="e">
        <f>AL40/AL39</f>
        <v>#DIV/0!</v>
      </c>
      <c r="AM41" s="64" t="e">
        <f>AM40/AM39</f>
        <v>#DIV/0!</v>
      </c>
      <c r="AN41" s="65"/>
      <c r="AO41" s="64">
        <f>AO40/AO39</f>
        <v>368.66666666666669</v>
      </c>
      <c r="AP41" s="64">
        <f>AP40/AP39</f>
        <v>56.928571428571431</v>
      </c>
      <c r="AQ41" s="65"/>
      <c r="AR41" s="64" t="e">
        <f>AR40/AR39</f>
        <v>#DIV/0!</v>
      </c>
      <c r="AS41" s="64" t="e">
        <f>AS40/AS39</f>
        <v>#DIV/0!</v>
      </c>
      <c r="AT41" s="65"/>
      <c r="AU41" s="64">
        <f>AU40/AU39</f>
        <v>368.66666666666669</v>
      </c>
      <c r="AV41" s="64">
        <f>AV40/AV39</f>
        <v>56.928571428571431</v>
      </c>
      <c r="AW41" s="65"/>
      <c r="AX41" s="64">
        <f>AX40/AX39</f>
        <v>342.08333333333331</v>
      </c>
      <c r="AY41" s="64" t="e">
        <f>AY40/AY39</f>
        <v>#DIV/0!</v>
      </c>
      <c r="AZ41" s="65"/>
      <c r="BA41" s="64">
        <f>BA40/BA39</f>
        <v>365</v>
      </c>
      <c r="BB41" s="64">
        <f>BB40/BB39</f>
        <v>56.928571428571431</v>
      </c>
      <c r="BC41" s="65"/>
      <c r="BD41" s="64" t="e">
        <f>BD40/BD39</f>
        <v>#DIV/0!</v>
      </c>
      <c r="BE41" s="64" t="e">
        <f>BE40/BE39</f>
        <v>#DIV/0!</v>
      </c>
      <c r="BF41" s="65"/>
      <c r="BG41" s="64">
        <f>BG40/BG39</f>
        <v>365</v>
      </c>
      <c r="BH41" s="64">
        <f>BH40/BH39</f>
        <v>56.928571428571431</v>
      </c>
      <c r="BI41" s="65"/>
      <c r="BJ41" s="64" t="e">
        <f>BJ40/BJ39</f>
        <v>#DIV/0!</v>
      </c>
      <c r="BK41" s="64">
        <f>BK40/BK39</f>
        <v>64.666666666666671</v>
      </c>
      <c r="BL41" s="65"/>
      <c r="BM41" s="64">
        <f>BM40/BM39</f>
        <v>365</v>
      </c>
      <c r="BN41" s="64">
        <f>BN40/BN39</f>
        <v>58.294117647058826</v>
      </c>
      <c r="BO41" s="65"/>
      <c r="BP41" s="64" t="e">
        <f>BP40/BP39</f>
        <v>#DIV/0!</v>
      </c>
      <c r="BQ41" s="64" t="e">
        <f>BQ40/BQ39</f>
        <v>#DIV/0!</v>
      </c>
      <c r="BR41" s="65"/>
      <c r="BS41" s="64">
        <f>BS40/BS39</f>
        <v>365</v>
      </c>
      <c r="BT41" s="64">
        <f>BT40/BT39</f>
        <v>58.294117647058826</v>
      </c>
      <c r="BU41" s="65"/>
      <c r="BV41" s="64" t="e">
        <f>BV40/BV39</f>
        <v>#DIV/0!</v>
      </c>
      <c r="BW41" s="64">
        <f>BW40/BW39</f>
        <v>49.4375</v>
      </c>
      <c r="BX41" s="65"/>
      <c r="BY41" s="64">
        <f>BY40/BY39</f>
        <v>365</v>
      </c>
      <c r="BZ41" s="64">
        <f>BZ40/BZ39</f>
        <v>54</v>
      </c>
      <c r="CA41" s="65"/>
      <c r="CB41" s="108"/>
    </row>
    <row r="42" spans="1:80" s="1" customFormat="1" ht="19.5" customHeight="1">
      <c r="A42" s="178" t="s">
        <v>147</v>
      </c>
      <c r="B42" s="133" t="s">
        <v>129</v>
      </c>
      <c r="C42" s="81" t="s">
        <v>42</v>
      </c>
      <c r="D42" s="66">
        <v>104811.2</v>
      </c>
      <c r="E42" s="66">
        <v>126728</v>
      </c>
      <c r="F42" s="66">
        <v>98352</v>
      </c>
      <c r="G42" s="66">
        <v>85203</v>
      </c>
      <c r="H42" s="66">
        <f>72287+2270+34643</f>
        <v>109200</v>
      </c>
      <c r="I42" s="66">
        <v>162355</v>
      </c>
      <c r="J42" s="66">
        <v>105850</v>
      </c>
      <c r="K42" s="66">
        <v>31060</v>
      </c>
      <c r="L42" s="66">
        <v>2250</v>
      </c>
      <c r="M42" s="15">
        <f t="shared" si="0"/>
        <v>-92.755956213779783</v>
      </c>
      <c r="N42" s="63">
        <f>Q42-K42</f>
        <v>76</v>
      </c>
      <c r="O42" s="63">
        <f>R42-L42</f>
        <v>4430</v>
      </c>
      <c r="P42" s="15">
        <f t="shared" si="1"/>
        <v>5728.9473684210525</v>
      </c>
      <c r="Q42" s="66">
        <v>31136</v>
      </c>
      <c r="R42" s="66">
        <v>6680</v>
      </c>
      <c r="S42" s="15">
        <f t="shared" si="2"/>
        <v>-78.54573484069887</v>
      </c>
      <c r="T42" s="63">
        <f>W42-Q42</f>
        <v>166</v>
      </c>
      <c r="U42" s="63">
        <f>X42-R42</f>
        <v>21629</v>
      </c>
      <c r="V42" s="15">
        <f t="shared" ref="V42:V43" si="255">(U42/T42-1)*100</f>
        <v>12929.518072289156</v>
      </c>
      <c r="W42" s="66">
        <v>31302</v>
      </c>
      <c r="X42" s="66">
        <v>28309</v>
      </c>
      <c r="Y42" s="15">
        <f t="shared" ref="Y42:Y43" si="256">(X42/W42-1)*100</f>
        <v>-9.5616893489233963</v>
      </c>
      <c r="Z42" s="63">
        <f>AC42-W42</f>
        <v>3053</v>
      </c>
      <c r="AA42" s="63">
        <f>AD42-X42</f>
        <v>10028</v>
      </c>
      <c r="AB42" s="15">
        <f t="shared" ref="AB42:AB43" si="257">(AA42/Z42-1)*100</f>
        <v>228.46380609236817</v>
      </c>
      <c r="AC42" s="66">
        <v>34355</v>
      </c>
      <c r="AD42" s="66">
        <v>38337</v>
      </c>
      <c r="AE42" s="15">
        <f t="shared" ref="AE42:AE43" si="258">(AD42/AC42-1)*100</f>
        <v>11.590743705428608</v>
      </c>
      <c r="AF42" s="63">
        <f>AI42-AC42</f>
        <v>5429</v>
      </c>
      <c r="AG42" s="63">
        <f>AJ42-AD42</f>
        <v>19114</v>
      </c>
      <c r="AH42" s="15">
        <f t="shared" ref="AH42:AH43" si="259">(AG42/AF42-1)*100</f>
        <v>252.07220482593476</v>
      </c>
      <c r="AI42" s="66">
        <v>39784</v>
      </c>
      <c r="AJ42" s="66">
        <v>57451</v>
      </c>
      <c r="AK42" s="15">
        <f t="shared" ref="AK42:AK43" si="260">(AJ42/AI42-1)*100</f>
        <v>44.407299416850996</v>
      </c>
      <c r="AL42" s="63">
        <f>AO42-AI42</f>
        <v>1209</v>
      </c>
      <c r="AM42" s="63">
        <f>AP42-AJ42</f>
        <v>9097</v>
      </c>
      <c r="AN42" s="15">
        <f t="shared" ref="AN42:AN43" si="261">(AM42/AL42-1)*100</f>
        <v>652.44003308519439</v>
      </c>
      <c r="AO42" s="66">
        <v>40993</v>
      </c>
      <c r="AP42" s="66">
        <v>66548</v>
      </c>
      <c r="AQ42" s="15">
        <f t="shared" ref="AQ42:AQ43" si="262">(AP42/AO42-1)*100</f>
        <v>62.339911692240136</v>
      </c>
      <c r="AR42" s="63">
        <f>AU42-AO42</f>
        <v>23029</v>
      </c>
      <c r="AS42" s="63">
        <f>AV42-AP42</f>
        <v>5218</v>
      </c>
      <c r="AT42" s="15">
        <f t="shared" ref="AT42:AT43" si="263">(AS42/AR42-1)*100</f>
        <v>-77.341612749142385</v>
      </c>
      <c r="AU42" s="66">
        <v>64022</v>
      </c>
      <c r="AV42" s="66">
        <v>71766</v>
      </c>
      <c r="AW42" s="15">
        <f t="shared" ref="AW42:AW43" si="264">(AV42/AU42-1)*100</f>
        <v>12.095842054293836</v>
      </c>
      <c r="AX42" s="63">
        <f>BA42-AU42</f>
        <v>22088</v>
      </c>
      <c r="AY42" s="63">
        <f>BB42-AV42</f>
        <v>1054</v>
      </c>
      <c r="AZ42" s="15">
        <f t="shared" ref="AZ42:AZ43" si="265">(AY42/AX42-1)*100</f>
        <v>-95.228178196305691</v>
      </c>
      <c r="BA42" s="66">
        <v>86110</v>
      </c>
      <c r="BB42" s="66">
        <v>72820</v>
      </c>
      <c r="BC42" s="15">
        <f t="shared" ref="BC42:BC43" si="266">(BB42/BA42-1)*100</f>
        <v>-15.433747532226228</v>
      </c>
      <c r="BD42" s="63">
        <f>BG42-BA42</f>
        <v>6151</v>
      </c>
      <c r="BE42" s="63">
        <f>BH42-BB42</f>
        <v>11864</v>
      </c>
      <c r="BF42" s="15">
        <f t="shared" ref="BF42:BF43" si="267">(BE42/BD42-1)*100</f>
        <v>92.879206633067795</v>
      </c>
      <c r="BG42" s="66">
        <v>92261</v>
      </c>
      <c r="BH42" s="66">
        <v>84684</v>
      </c>
      <c r="BI42" s="15">
        <f t="shared" ref="BI42:BI43" si="268">(BH42/BG42-1)*100</f>
        <v>-8.2125708587593937</v>
      </c>
      <c r="BJ42" s="63">
        <f>BM42-BG42</f>
        <v>2504</v>
      </c>
      <c r="BK42" s="63">
        <f>BN42-BH42</f>
        <v>249</v>
      </c>
      <c r="BL42" s="15">
        <f t="shared" ref="BL42:BL43" si="269">(BK42/BJ42-1)*100</f>
        <v>-90.055910543130992</v>
      </c>
      <c r="BM42" s="66">
        <v>94765</v>
      </c>
      <c r="BN42" s="66">
        <v>84933</v>
      </c>
      <c r="BO42" s="15">
        <f t="shared" ref="BO42:BO43" si="270">(BN42/BM42-1)*100</f>
        <v>-10.375138500501235</v>
      </c>
      <c r="BP42" s="63">
        <f>BS42-BM42</f>
        <v>2052</v>
      </c>
      <c r="BQ42" s="63">
        <f>BT42-BN42</f>
        <v>134</v>
      </c>
      <c r="BR42" s="15">
        <f t="shared" ref="BR42:BR43" si="271">(BQ42/BP42-1)*100</f>
        <v>-93.469785575048732</v>
      </c>
      <c r="BS42" s="66">
        <v>96817</v>
      </c>
      <c r="BT42" s="66">
        <v>85067</v>
      </c>
      <c r="BU42" s="15">
        <f t="shared" ref="BU42:BU43" si="272">(BT42/BS42-1)*100</f>
        <v>-12.136298377351086</v>
      </c>
      <c r="BV42" s="63">
        <f>BY42-BS42</f>
        <v>9033</v>
      </c>
      <c r="BW42" s="63">
        <f>BZ42-BT42</f>
        <v>10476</v>
      </c>
      <c r="BX42" s="15">
        <f t="shared" ref="BX42:BX43" si="273">(BW42/BV42-1)*100</f>
        <v>15.974759216207236</v>
      </c>
      <c r="BY42" s="66">
        <v>105850</v>
      </c>
      <c r="BZ42" s="66">
        <v>95543</v>
      </c>
      <c r="CA42" s="15">
        <f t="shared" ref="CA42:CA43" si="274">(BZ42/BY42-1)*100</f>
        <v>-9.7373641946150169</v>
      </c>
      <c r="CB42" s="108"/>
    </row>
    <row r="43" spans="1:80" s="1" customFormat="1" ht="19.5" customHeight="1">
      <c r="A43" s="179"/>
      <c r="B43" s="134"/>
      <c r="C43" s="82" t="s">
        <v>104</v>
      </c>
      <c r="D43" s="17">
        <v>723640</v>
      </c>
      <c r="E43" s="17">
        <v>920585</v>
      </c>
      <c r="F43" s="17">
        <v>962899</v>
      </c>
      <c r="G43" s="17">
        <v>608408</v>
      </c>
      <c r="H43" s="17">
        <f>645009+21820+164886</f>
        <v>831715</v>
      </c>
      <c r="I43" s="17">
        <v>1211021</v>
      </c>
      <c r="J43" s="17">
        <v>837652</v>
      </c>
      <c r="K43" s="17">
        <v>162773</v>
      </c>
      <c r="L43" s="17">
        <v>81847</v>
      </c>
      <c r="M43" s="18">
        <f t="shared" si="0"/>
        <v>-49.717090672285948</v>
      </c>
      <c r="N43" s="17">
        <f>Q43-K43</f>
        <v>8702</v>
      </c>
      <c r="O43" s="17">
        <f>R43-L43</f>
        <v>45738</v>
      </c>
      <c r="P43" s="18">
        <f t="shared" si="1"/>
        <v>425.60330958400368</v>
      </c>
      <c r="Q43" s="17">
        <v>171475</v>
      </c>
      <c r="R43" s="17">
        <v>127585</v>
      </c>
      <c r="S43" s="18">
        <f t="shared" si="2"/>
        <v>-25.595567867036007</v>
      </c>
      <c r="T43" s="17">
        <f>W43-Q43</f>
        <v>2746</v>
      </c>
      <c r="U43" s="17">
        <f>X43-R43</f>
        <v>34094</v>
      </c>
      <c r="V43" s="18">
        <f t="shared" si="255"/>
        <v>1141.5877640203933</v>
      </c>
      <c r="W43" s="17">
        <v>174221</v>
      </c>
      <c r="X43" s="17">
        <v>161679</v>
      </c>
      <c r="Y43" s="18">
        <f t="shared" si="256"/>
        <v>-7.1989025433214167</v>
      </c>
      <c r="Z43" s="17">
        <f>AC43-W43</f>
        <v>35059</v>
      </c>
      <c r="AA43" s="17">
        <f>AD43-X43</f>
        <v>106534</v>
      </c>
      <c r="AB43" s="18">
        <f t="shared" si="257"/>
        <v>203.87061810091561</v>
      </c>
      <c r="AC43" s="17">
        <v>209280</v>
      </c>
      <c r="AD43" s="17">
        <v>268213</v>
      </c>
      <c r="AE43" s="18">
        <f t="shared" si="258"/>
        <v>28.159881498470952</v>
      </c>
      <c r="AF43" s="17">
        <f>AI43-AC43</f>
        <v>71989</v>
      </c>
      <c r="AG43" s="17">
        <f>AJ43-AD43</f>
        <v>186757</v>
      </c>
      <c r="AH43" s="18">
        <f t="shared" si="259"/>
        <v>159.42435649890956</v>
      </c>
      <c r="AI43" s="17">
        <v>281269</v>
      </c>
      <c r="AJ43" s="17">
        <v>454970</v>
      </c>
      <c r="AK43" s="18">
        <f t="shared" si="260"/>
        <v>61.756183582264669</v>
      </c>
      <c r="AL43" s="17">
        <f>AO43-AI43</f>
        <v>60586</v>
      </c>
      <c r="AM43" s="17">
        <f>AP43-AJ43</f>
        <v>90857</v>
      </c>
      <c r="AN43" s="18">
        <f t="shared" si="261"/>
        <v>49.963687980721616</v>
      </c>
      <c r="AO43" s="17">
        <v>341855</v>
      </c>
      <c r="AP43" s="17">
        <v>545827</v>
      </c>
      <c r="AQ43" s="18">
        <f t="shared" si="262"/>
        <v>59.666232759503288</v>
      </c>
      <c r="AR43" s="17">
        <f>AU43-AO43</f>
        <v>202693</v>
      </c>
      <c r="AS43" s="17">
        <f>AV43-AP43</f>
        <v>57490</v>
      </c>
      <c r="AT43" s="18">
        <f t="shared" si="263"/>
        <v>-71.636909020045096</v>
      </c>
      <c r="AU43" s="17">
        <v>544548</v>
      </c>
      <c r="AV43" s="17">
        <v>603317</v>
      </c>
      <c r="AW43" s="18">
        <f t="shared" si="264"/>
        <v>10.792253391803852</v>
      </c>
      <c r="AX43" s="17">
        <f>BA43-AU43</f>
        <v>89057</v>
      </c>
      <c r="AY43" s="17">
        <f>BB43-AV43</f>
        <v>16519</v>
      </c>
      <c r="AZ43" s="18">
        <f t="shared" si="265"/>
        <v>-81.451205407772548</v>
      </c>
      <c r="BA43" s="17">
        <v>633605</v>
      </c>
      <c r="BB43" s="17">
        <v>619836</v>
      </c>
      <c r="BC43" s="18">
        <f t="shared" si="266"/>
        <v>-2.1731204772689638</v>
      </c>
      <c r="BD43" s="17">
        <f>BG43-BA43</f>
        <v>61326</v>
      </c>
      <c r="BE43" s="17">
        <f>BH43-BB43</f>
        <v>106001</v>
      </c>
      <c r="BF43" s="18">
        <f t="shared" si="267"/>
        <v>72.848384045918536</v>
      </c>
      <c r="BG43" s="17">
        <v>694931</v>
      </c>
      <c r="BH43" s="17">
        <v>725837</v>
      </c>
      <c r="BI43" s="18">
        <f t="shared" si="268"/>
        <v>4.447348010090213</v>
      </c>
      <c r="BJ43" s="17">
        <f>BM43-BG43</f>
        <v>19520</v>
      </c>
      <c r="BK43" s="17">
        <f>BN43-BH43</f>
        <v>50971</v>
      </c>
      <c r="BL43" s="18">
        <f t="shared" si="269"/>
        <v>161.12192622950818</v>
      </c>
      <c r="BM43" s="17">
        <v>714451</v>
      </c>
      <c r="BN43" s="17">
        <v>776808</v>
      </c>
      <c r="BO43" s="18">
        <f t="shared" si="270"/>
        <v>8.7279603499750067</v>
      </c>
      <c r="BP43" s="17">
        <f>BS43-BM43</f>
        <v>22947</v>
      </c>
      <c r="BQ43" s="17">
        <f>BT43-BN43</f>
        <v>39752</v>
      </c>
      <c r="BR43" s="18">
        <f t="shared" si="271"/>
        <v>73.233973939948569</v>
      </c>
      <c r="BS43" s="17">
        <v>737398</v>
      </c>
      <c r="BT43" s="17">
        <v>816560</v>
      </c>
      <c r="BU43" s="18">
        <f t="shared" si="272"/>
        <v>10.735315257160982</v>
      </c>
      <c r="BV43" s="17">
        <f>BY43-BS43</f>
        <v>100254</v>
      </c>
      <c r="BW43" s="17">
        <f>BZ43-BT43</f>
        <v>152162</v>
      </c>
      <c r="BX43" s="18">
        <f t="shared" si="273"/>
        <v>51.77648772118819</v>
      </c>
      <c r="BY43" s="17">
        <v>837652</v>
      </c>
      <c r="BZ43" s="17">
        <v>968722</v>
      </c>
      <c r="CA43" s="18">
        <f t="shared" si="274"/>
        <v>15.647309383849151</v>
      </c>
      <c r="CB43" s="108"/>
    </row>
    <row r="44" spans="1:80" s="1" customFormat="1" ht="19.5" customHeight="1">
      <c r="A44" s="180"/>
      <c r="B44" s="135"/>
      <c r="C44" s="83" t="s">
        <v>105</v>
      </c>
      <c r="D44" s="64">
        <f t="shared" ref="D44:L44" si="275">D43/D42</f>
        <v>6.9042239760636273</v>
      </c>
      <c r="E44" s="64">
        <f t="shared" si="275"/>
        <v>7.2642588851713903</v>
      </c>
      <c r="F44" s="64">
        <f t="shared" si="275"/>
        <v>9.790334716121686</v>
      </c>
      <c r="G44" s="64">
        <f t="shared" si="275"/>
        <v>7.140687534476486</v>
      </c>
      <c r="H44" s="64">
        <f>H43/H42</f>
        <v>7.6164377289377292</v>
      </c>
      <c r="I44" s="64">
        <f>I43/I42</f>
        <v>7.4590927288965538</v>
      </c>
      <c r="J44" s="64">
        <f>J43/J42</f>
        <v>7.9135758148323099</v>
      </c>
      <c r="K44" s="64">
        <f t="shared" si="275"/>
        <v>5.2405988409529938</v>
      </c>
      <c r="L44" s="64">
        <f t="shared" si="275"/>
        <v>36.376444444444445</v>
      </c>
      <c r="M44" s="65"/>
      <c r="N44" s="64">
        <f>N43/N42</f>
        <v>114.5</v>
      </c>
      <c r="O44" s="64">
        <f>O43/O42</f>
        <v>10.324604966139955</v>
      </c>
      <c r="P44" s="65"/>
      <c r="Q44" s="64">
        <f>Q43/Q42</f>
        <v>5.5072905960945526</v>
      </c>
      <c r="R44" s="64">
        <f>R43/R42</f>
        <v>19.099550898203592</v>
      </c>
      <c r="S44" s="65"/>
      <c r="T44" s="64">
        <f>T43/T42</f>
        <v>16.542168674698797</v>
      </c>
      <c r="U44" s="64">
        <f>U43/U42</f>
        <v>1.5763095843543391</v>
      </c>
      <c r="V44" s="65"/>
      <c r="W44" s="64">
        <f>W43/W42</f>
        <v>5.5658104913424058</v>
      </c>
      <c r="X44" s="64">
        <f>X43/X42</f>
        <v>5.7112225793917126</v>
      </c>
      <c r="Y44" s="65"/>
      <c r="Z44" s="64">
        <f>Z43/Z42</f>
        <v>11.483458892892237</v>
      </c>
      <c r="AA44" s="64">
        <f>AA43/AA42</f>
        <v>10.623653769445552</v>
      </c>
      <c r="AB44" s="65"/>
      <c r="AC44" s="64">
        <f>AC43/AC42</f>
        <v>6.0916897103769463</v>
      </c>
      <c r="AD44" s="64">
        <f>AD43/AD42</f>
        <v>6.996191668623001</v>
      </c>
      <c r="AE44" s="65"/>
      <c r="AF44" s="64">
        <f>AF43/AF42</f>
        <v>13.260084730152883</v>
      </c>
      <c r="AG44" s="64">
        <f>AG43/AG42</f>
        <v>9.770691639635869</v>
      </c>
      <c r="AH44" s="65"/>
      <c r="AI44" s="64">
        <f>AI43/AI42</f>
        <v>7.0699024733561231</v>
      </c>
      <c r="AJ44" s="64">
        <f>AJ43/AJ42</f>
        <v>7.9192703347200224</v>
      </c>
      <c r="AK44" s="65"/>
      <c r="AL44" s="64">
        <f>AL43/AL42</f>
        <v>50.112489660876754</v>
      </c>
      <c r="AM44" s="64">
        <f>AM43/AM42</f>
        <v>9.987578322523909</v>
      </c>
      <c r="AN44" s="65"/>
      <c r="AO44" s="64">
        <f>AO43/AO42</f>
        <v>8.3393506208377044</v>
      </c>
      <c r="AP44" s="64">
        <f>AP43/AP42</f>
        <v>8.2020045681312741</v>
      </c>
      <c r="AQ44" s="65"/>
      <c r="AR44" s="64">
        <f>AR43/AR42</f>
        <v>8.8016414086586483</v>
      </c>
      <c r="AS44" s="64">
        <f>AS43/AS42</f>
        <v>11.017631276351093</v>
      </c>
      <c r="AT44" s="65"/>
      <c r="AU44" s="64">
        <f>AU43/AU42</f>
        <v>8.5056386867014471</v>
      </c>
      <c r="AV44" s="64">
        <f>AV43/AV42</f>
        <v>8.4067246328344893</v>
      </c>
      <c r="AW44" s="65"/>
      <c r="AX44" s="64">
        <f>AX43/AX42</f>
        <v>4.0319177834118074</v>
      </c>
      <c r="AY44" s="64">
        <f>AY43/AY42</f>
        <v>15.672675521821631</v>
      </c>
      <c r="AZ44" s="65"/>
      <c r="BA44" s="64">
        <f>BA43/BA42</f>
        <v>7.3580884914644056</v>
      </c>
      <c r="BB44" s="64">
        <f>BB43/BB42</f>
        <v>8.5118923372699804</v>
      </c>
      <c r="BC44" s="65"/>
      <c r="BD44" s="64">
        <f>BD43/BD42</f>
        <v>9.970086164851244</v>
      </c>
      <c r="BE44" s="64">
        <f>BE43/BE42</f>
        <v>8.9346763317599454</v>
      </c>
      <c r="BF44" s="65"/>
      <c r="BG44" s="64">
        <f>BG43/BG42</f>
        <v>7.5322292192800857</v>
      </c>
      <c r="BH44" s="64">
        <f>BH43/BH42</f>
        <v>8.5711232346133865</v>
      </c>
      <c r="BI44" s="65"/>
      <c r="BJ44" s="64">
        <f>BJ43/BJ42</f>
        <v>7.7955271565495208</v>
      </c>
      <c r="BK44" s="64">
        <f>BK43/BK42</f>
        <v>204.70281124497993</v>
      </c>
      <c r="BL44" s="65"/>
      <c r="BM44" s="64">
        <f>BM43/BM42</f>
        <v>7.5391864084841451</v>
      </c>
      <c r="BN44" s="64">
        <f>BN43/BN42</f>
        <v>9.146126947123026</v>
      </c>
      <c r="BO44" s="65"/>
      <c r="BP44" s="64">
        <f>BP43/BP42</f>
        <v>11.182748538011696</v>
      </c>
      <c r="BQ44" s="64">
        <f>BQ43/BQ42</f>
        <v>296.65671641791045</v>
      </c>
      <c r="BR44" s="65"/>
      <c r="BS44" s="64">
        <f>BS43/BS42</f>
        <v>7.616410341159094</v>
      </c>
      <c r="BT44" s="64">
        <f>BT43/BT42</f>
        <v>9.5990219474061629</v>
      </c>
      <c r="BU44" s="65"/>
      <c r="BV44" s="64">
        <f>BV43/BV42</f>
        <v>11.098638326137495</v>
      </c>
      <c r="BW44" s="64">
        <f>BW43/BW42</f>
        <v>14.524818633066056</v>
      </c>
      <c r="BX44" s="65"/>
      <c r="BY44" s="64">
        <f>BY43/BY42</f>
        <v>7.9135758148323099</v>
      </c>
      <c r="BZ44" s="64">
        <f>BZ43/BZ42</f>
        <v>10.139120605381869</v>
      </c>
      <c r="CA44" s="65"/>
      <c r="CB44" s="108"/>
    </row>
    <row r="45" spans="1:80" s="1" customFormat="1" ht="19.5" customHeight="1">
      <c r="A45" s="178" t="s">
        <v>148</v>
      </c>
      <c r="B45" s="133" t="s">
        <v>6</v>
      </c>
      <c r="C45" s="81" t="s">
        <v>42</v>
      </c>
      <c r="D45" s="66">
        <v>73.599999999999994</v>
      </c>
      <c r="E45" s="66">
        <v>43.6</v>
      </c>
      <c r="F45" s="66">
        <v>8</v>
      </c>
      <c r="G45" s="66">
        <v>386</v>
      </c>
      <c r="H45" s="66">
        <v>273</v>
      </c>
      <c r="I45" s="66">
        <v>2</v>
      </c>
      <c r="J45" s="66">
        <v>0</v>
      </c>
      <c r="K45" s="66">
        <v>0</v>
      </c>
      <c r="L45" s="66">
        <v>0</v>
      </c>
      <c r="M45" s="15" t="e">
        <f t="shared" si="0"/>
        <v>#DIV/0!</v>
      </c>
      <c r="N45" s="63">
        <f>Q45-K45</f>
        <v>0</v>
      </c>
      <c r="O45" s="63">
        <f>R45-L45</f>
        <v>0</v>
      </c>
      <c r="P45" s="15" t="e">
        <f t="shared" si="1"/>
        <v>#DIV/0!</v>
      </c>
      <c r="Q45" s="66">
        <v>0</v>
      </c>
      <c r="R45" s="66">
        <v>0</v>
      </c>
      <c r="S45" s="15" t="e">
        <f t="shared" si="2"/>
        <v>#DIV/0!</v>
      </c>
      <c r="T45" s="63">
        <f>W45-Q45</f>
        <v>0</v>
      </c>
      <c r="U45" s="63">
        <f>X45-R45</f>
        <v>0</v>
      </c>
      <c r="V45" s="15" t="e">
        <f t="shared" ref="V45:V46" si="276">(U45/T45-1)*100</f>
        <v>#DIV/0!</v>
      </c>
      <c r="W45" s="66">
        <v>0</v>
      </c>
      <c r="X45" s="66">
        <v>0</v>
      </c>
      <c r="Y45" s="15" t="e">
        <f t="shared" ref="Y45:Y46" si="277">(X45/W45-1)*100</f>
        <v>#DIV/0!</v>
      </c>
      <c r="Z45" s="63">
        <f>AC45-W45</f>
        <v>0</v>
      </c>
      <c r="AA45" s="63">
        <f>AD45-X45</f>
        <v>0</v>
      </c>
      <c r="AB45" s="15" t="e">
        <f t="shared" ref="AB45:AB46" si="278">(AA45/Z45-1)*100</f>
        <v>#DIV/0!</v>
      </c>
      <c r="AC45" s="66">
        <v>0</v>
      </c>
      <c r="AD45" s="66">
        <v>0</v>
      </c>
      <c r="AE45" s="15" t="e">
        <f t="shared" ref="AE45:AE46" si="279">(AD45/AC45-1)*100</f>
        <v>#DIV/0!</v>
      </c>
      <c r="AF45" s="63">
        <f>AI45-AC45</f>
        <v>0</v>
      </c>
      <c r="AG45" s="63">
        <f>AJ45-AD45</f>
        <v>0</v>
      </c>
      <c r="AH45" s="15" t="e">
        <f t="shared" ref="AH45:AH46" si="280">(AG45/AF45-1)*100</f>
        <v>#DIV/0!</v>
      </c>
      <c r="AI45" s="66">
        <v>0</v>
      </c>
      <c r="AJ45" s="66">
        <v>0</v>
      </c>
      <c r="AK45" s="15" t="e">
        <f t="shared" ref="AK45:AK46" si="281">(AJ45/AI45-1)*100</f>
        <v>#DIV/0!</v>
      </c>
      <c r="AL45" s="63">
        <f>AO45-AI45</f>
        <v>0</v>
      </c>
      <c r="AM45" s="63">
        <f>AP45-AJ45</f>
        <v>0</v>
      </c>
      <c r="AN45" s="15" t="e">
        <f t="shared" ref="AN45:AN46" si="282">(AM45/AL45-1)*100</f>
        <v>#DIV/0!</v>
      </c>
      <c r="AO45" s="66">
        <v>0</v>
      </c>
      <c r="AP45" s="66">
        <v>0</v>
      </c>
      <c r="AQ45" s="15" t="e">
        <f t="shared" ref="AQ45:AQ46" si="283">(AP45/AO45-1)*100</f>
        <v>#DIV/0!</v>
      </c>
      <c r="AR45" s="63">
        <f>AU45-AO45</f>
        <v>0</v>
      </c>
      <c r="AS45" s="63">
        <f>AV45-AP45</f>
        <v>0</v>
      </c>
      <c r="AT45" s="15" t="e">
        <f t="shared" ref="AT45:AT46" si="284">(AS45/AR45-1)*100</f>
        <v>#DIV/0!</v>
      </c>
      <c r="AU45" s="66">
        <v>0</v>
      </c>
      <c r="AV45" s="66">
        <v>0</v>
      </c>
      <c r="AW45" s="15" t="e">
        <f t="shared" ref="AW45:AW46" si="285">(AV45/AU45-1)*100</f>
        <v>#DIV/0!</v>
      </c>
      <c r="AX45" s="63">
        <f>BA45-AU45</f>
        <v>0</v>
      </c>
      <c r="AY45" s="63">
        <f>BB45-AV45</f>
        <v>0</v>
      </c>
      <c r="AZ45" s="15" t="e">
        <f t="shared" ref="AZ45:AZ46" si="286">(AY45/AX45-1)*100</f>
        <v>#DIV/0!</v>
      </c>
      <c r="BA45" s="66">
        <v>0</v>
      </c>
      <c r="BB45" s="66">
        <v>0</v>
      </c>
      <c r="BC45" s="15" t="e">
        <f t="shared" ref="BC45:BC46" si="287">(BB45/BA45-1)*100</f>
        <v>#DIV/0!</v>
      </c>
      <c r="BD45" s="63">
        <f>BG45-BA45</f>
        <v>0</v>
      </c>
      <c r="BE45" s="63">
        <f>BH45-BB45</f>
        <v>0</v>
      </c>
      <c r="BF45" s="15" t="e">
        <f t="shared" ref="BF45:BF46" si="288">(BE45/BD45-1)*100</f>
        <v>#DIV/0!</v>
      </c>
      <c r="BG45" s="66">
        <v>0</v>
      </c>
      <c r="BH45" s="66">
        <v>0</v>
      </c>
      <c r="BI45" s="15" t="e">
        <f t="shared" ref="BI45:BI46" si="289">(BH45/BG45-1)*100</f>
        <v>#DIV/0!</v>
      </c>
      <c r="BJ45" s="63">
        <f>BM45-BG45</f>
        <v>0</v>
      </c>
      <c r="BK45" s="63">
        <f>BN45-BH45</f>
        <v>0</v>
      </c>
      <c r="BL45" s="15" t="e">
        <f t="shared" ref="BL45:BL46" si="290">(BK45/BJ45-1)*100</f>
        <v>#DIV/0!</v>
      </c>
      <c r="BM45" s="66">
        <v>0</v>
      </c>
      <c r="BN45" s="66">
        <v>0</v>
      </c>
      <c r="BO45" s="15" t="e">
        <f t="shared" ref="BO45:BO46" si="291">(BN45/BM45-1)*100</f>
        <v>#DIV/0!</v>
      </c>
      <c r="BP45" s="63">
        <f>BS45-BM45</f>
        <v>0</v>
      </c>
      <c r="BQ45" s="63">
        <f>BT45-BN45</f>
        <v>0</v>
      </c>
      <c r="BR45" s="15" t="e">
        <f t="shared" ref="BR45:BR46" si="292">(BQ45/BP45-1)*100</f>
        <v>#DIV/0!</v>
      </c>
      <c r="BS45" s="66">
        <v>0</v>
      </c>
      <c r="BT45" s="66">
        <v>0</v>
      </c>
      <c r="BU45" s="15" t="e">
        <f t="shared" ref="BU45:BU46" si="293">(BT45/BS45-1)*100</f>
        <v>#DIV/0!</v>
      </c>
      <c r="BV45" s="63">
        <f>BY45-BS45</f>
        <v>0</v>
      </c>
      <c r="BW45" s="63">
        <f>BZ45-BT45</f>
        <v>0</v>
      </c>
      <c r="BX45" s="15" t="e">
        <f t="shared" ref="BX45:BX46" si="294">(BW45/BV45-1)*100</f>
        <v>#DIV/0!</v>
      </c>
      <c r="BY45" s="66">
        <v>0</v>
      </c>
      <c r="BZ45" s="66">
        <v>0</v>
      </c>
      <c r="CA45" s="15" t="e">
        <f t="shared" ref="CA45:CA46" si="295">(BZ45/BY45-1)*100</f>
        <v>#DIV/0!</v>
      </c>
      <c r="CB45" s="108"/>
    </row>
    <row r="46" spans="1:80" s="1" customFormat="1" ht="19.5" customHeight="1">
      <c r="A46" s="179"/>
      <c r="B46" s="115"/>
      <c r="C46" s="82" t="s">
        <v>104</v>
      </c>
      <c r="D46" s="17">
        <v>36620</v>
      </c>
      <c r="E46" s="17">
        <v>12315</v>
      </c>
      <c r="F46" s="17">
        <v>4400</v>
      </c>
      <c r="G46" s="17">
        <v>88398</v>
      </c>
      <c r="H46" s="17">
        <v>41083</v>
      </c>
      <c r="I46" s="17">
        <v>2648</v>
      </c>
      <c r="J46" s="17">
        <v>0</v>
      </c>
      <c r="K46" s="17">
        <v>0</v>
      </c>
      <c r="L46" s="17">
        <v>0</v>
      </c>
      <c r="M46" s="18" t="e">
        <f t="shared" si="0"/>
        <v>#DIV/0!</v>
      </c>
      <c r="N46" s="17">
        <f>Q46-K46</f>
        <v>0</v>
      </c>
      <c r="O46" s="17">
        <f>R46-L46</f>
        <v>0</v>
      </c>
      <c r="P46" s="18" t="e">
        <f t="shared" si="1"/>
        <v>#DIV/0!</v>
      </c>
      <c r="Q46" s="17">
        <v>0</v>
      </c>
      <c r="R46" s="17">
        <v>0</v>
      </c>
      <c r="S46" s="18" t="e">
        <f t="shared" si="2"/>
        <v>#DIV/0!</v>
      </c>
      <c r="T46" s="17">
        <f>W46-Q46</f>
        <v>0</v>
      </c>
      <c r="U46" s="17">
        <f>X46-R46</f>
        <v>0</v>
      </c>
      <c r="V46" s="18" t="e">
        <f t="shared" si="276"/>
        <v>#DIV/0!</v>
      </c>
      <c r="W46" s="17">
        <v>0</v>
      </c>
      <c r="X46" s="17">
        <v>0</v>
      </c>
      <c r="Y46" s="18" t="e">
        <f t="shared" si="277"/>
        <v>#DIV/0!</v>
      </c>
      <c r="Z46" s="17">
        <f>AC46-W46</f>
        <v>0</v>
      </c>
      <c r="AA46" s="17">
        <f>AD46-X46</f>
        <v>0</v>
      </c>
      <c r="AB46" s="18" t="e">
        <f t="shared" si="278"/>
        <v>#DIV/0!</v>
      </c>
      <c r="AC46" s="17">
        <v>0</v>
      </c>
      <c r="AD46" s="17">
        <v>0</v>
      </c>
      <c r="AE46" s="18" t="e">
        <f t="shared" si="279"/>
        <v>#DIV/0!</v>
      </c>
      <c r="AF46" s="17">
        <f>AI46-AC46</f>
        <v>0</v>
      </c>
      <c r="AG46" s="17">
        <f>AJ46-AD46</f>
        <v>0</v>
      </c>
      <c r="AH46" s="18" t="e">
        <f t="shared" si="280"/>
        <v>#DIV/0!</v>
      </c>
      <c r="AI46" s="17">
        <v>0</v>
      </c>
      <c r="AJ46" s="17">
        <v>0</v>
      </c>
      <c r="AK46" s="18" t="e">
        <f t="shared" si="281"/>
        <v>#DIV/0!</v>
      </c>
      <c r="AL46" s="17">
        <f>AO46-AI46</f>
        <v>0</v>
      </c>
      <c r="AM46" s="17">
        <f>AP46-AJ46</f>
        <v>0</v>
      </c>
      <c r="AN46" s="18" t="e">
        <f t="shared" si="282"/>
        <v>#DIV/0!</v>
      </c>
      <c r="AO46" s="17">
        <v>0</v>
      </c>
      <c r="AP46" s="17">
        <v>0</v>
      </c>
      <c r="AQ46" s="18" t="e">
        <f t="shared" si="283"/>
        <v>#DIV/0!</v>
      </c>
      <c r="AR46" s="17">
        <f>AU46-AO46</f>
        <v>0</v>
      </c>
      <c r="AS46" s="17">
        <f>AV46-AP46</f>
        <v>0</v>
      </c>
      <c r="AT46" s="18" t="e">
        <f t="shared" si="284"/>
        <v>#DIV/0!</v>
      </c>
      <c r="AU46" s="17">
        <v>0</v>
      </c>
      <c r="AV46" s="17">
        <v>0</v>
      </c>
      <c r="AW46" s="18" t="e">
        <f t="shared" si="285"/>
        <v>#DIV/0!</v>
      </c>
      <c r="AX46" s="17">
        <f>BA46-AU46</f>
        <v>0</v>
      </c>
      <c r="AY46" s="17">
        <f>BB46-AV46</f>
        <v>0</v>
      </c>
      <c r="AZ46" s="18" t="e">
        <f t="shared" si="286"/>
        <v>#DIV/0!</v>
      </c>
      <c r="BA46" s="17">
        <v>0</v>
      </c>
      <c r="BB46" s="17">
        <v>0</v>
      </c>
      <c r="BC46" s="18" t="e">
        <f t="shared" si="287"/>
        <v>#DIV/0!</v>
      </c>
      <c r="BD46" s="17">
        <f>BG46-BA46</f>
        <v>0</v>
      </c>
      <c r="BE46" s="17">
        <f>BH46-BB46</f>
        <v>0</v>
      </c>
      <c r="BF46" s="18" t="e">
        <f t="shared" si="288"/>
        <v>#DIV/0!</v>
      </c>
      <c r="BG46" s="17">
        <v>0</v>
      </c>
      <c r="BH46" s="17">
        <v>0</v>
      </c>
      <c r="BI46" s="18" t="e">
        <f t="shared" si="289"/>
        <v>#DIV/0!</v>
      </c>
      <c r="BJ46" s="17">
        <f>BM46-BG46</f>
        <v>0</v>
      </c>
      <c r="BK46" s="17">
        <f>BN46-BH46</f>
        <v>0</v>
      </c>
      <c r="BL46" s="18" t="e">
        <f t="shared" si="290"/>
        <v>#DIV/0!</v>
      </c>
      <c r="BM46" s="17">
        <v>0</v>
      </c>
      <c r="BN46" s="17">
        <v>0</v>
      </c>
      <c r="BO46" s="18" t="e">
        <f t="shared" si="291"/>
        <v>#DIV/0!</v>
      </c>
      <c r="BP46" s="17">
        <f>BS46-BM46</f>
        <v>0</v>
      </c>
      <c r="BQ46" s="17">
        <f>BT46-BN46</f>
        <v>0</v>
      </c>
      <c r="BR46" s="18" t="e">
        <f t="shared" si="292"/>
        <v>#DIV/0!</v>
      </c>
      <c r="BS46" s="17">
        <v>0</v>
      </c>
      <c r="BT46" s="17">
        <v>0</v>
      </c>
      <c r="BU46" s="18" t="e">
        <f t="shared" si="293"/>
        <v>#DIV/0!</v>
      </c>
      <c r="BV46" s="17">
        <f>BY46-BS46</f>
        <v>0</v>
      </c>
      <c r="BW46" s="17">
        <f>BZ46-BT46</f>
        <v>0</v>
      </c>
      <c r="BX46" s="18" t="e">
        <f t="shared" si="294"/>
        <v>#DIV/0!</v>
      </c>
      <c r="BY46" s="17">
        <v>0</v>
      </c>
      <c r="BZ46" s="17">
        <v>0</v>
      </c>
      <c r="CA46" s="18" t="e">
        <f t="shared" si="295"/>
        <v>#DIV/0!</v>
      </c>
      <c r="CB46" s="108"/>
    </row>
    <row r="47" spans="1:80" s="1" customFormat="1" ht="19.5" customHeight="1">
      <c r="A47" s="180"/>
      <c r="B47" s="116"/>
      <c r="C47" s="83" t="s">
        <v>105</v>
      </c>
      <c r="D47" s="64">
        <f t="shared" ref="D47:L47" si="296">D46/D45</f>
        <v>497.554347826087</v>
      </c>
      <c r="E47" s="64">
        <f t="shared" si="296"/>
        <v>282.45412844036696</v>
      </c>
      <c r="F47" s="64">
        <f t="shared" si="296"/>
        <v>550</v>
      </c>
      <c r="G47" s="64">
        <f t="shared" si="296"/>
        <v>229.01036269430051</v>
      </c>
      <c r="H47" s="64">
        <f>H46/H45</f>
        <v>150.48717948717947</v>
      </c>
      <c r="I47" s="64">
        <f>I46/I45</f>
        <v>1324</v>
      </c>
      <c r="J47" s="64" t="e">
        <f>J46/J45</f>
        <v>#DIV/0!</v>
      </c>
      <c r="K47" s="64" t="e">
        <f t="shared" si="296"/>
        <v>#DIV/0!</v>
      </c>
      <c r="L47" s="64" t="e">
        <f t="shared" si="296"/>
        <v>#DIV/0!</v>
      </c>
      <c r="M47" s="65"/>
      <c r="N47" s="64" t="e">
        <f>N46/N45</f>
        <v>#DIV/0!</v>
      </c>
      <c r="O47" s="64" t="e">
        <f>O46/O45</f>
        <v>#DIV/0!</v>
      </c>
      <c r="P47" s="65"/>
      <c r="Q47" s="64" t="e">
        <f>Q46/Q45</f>
        <v>#DIV/0!</v>
      </c>
      <c r="R47" s="64" t="e">
        <f>R46/R45</f>
        <v>#DIV/0!</v>
      </c>
      <c r="S47" s="65"/>
      <c r="T47" s="64" t="e">
        <f>T46/T45</f>
        <v>#DIV/0!</v>
      </c>
      <c r="U47" s="64" t="e">
        <f>U46/U45</f>
        <v>#DIV/0!</v>
      </c>
      <c r="V47" s="65"/>
      <c r="W47" s="64" t="e">
        <f>W46/W45</f>
        <v>#DIV/0!</v>
      </c>
      <c r="X47" s="64" t="e">
        <f>X46/X45</f>
        <v>#DIV/0!</v>
      </c>
      <c r="Y47" s="65"/>
      <c r="Z47" s="64" t="e">
        <f>Z46/Z45</f>
        <v>#DIV/0!</v>
      </c>
      <c r="AA47" s="64" t="e">
        <f>AA46/AA45</f>
        <v>#DIV/0!</v>
      </c>
      <c r="AB47" s="65"/>
      <c r="AC47" s="64" t="e">
        <f>AC46/AC45</f>
        <v>#DIV/0!</v>
      </c>
      <c r="AD47" s="64" t="e">
        <f>AD46/AD45</f>
        <v>#DIV/0!</v>
      </c>
      <c r="AE47" s="65"/>
      <c r="AF47" s="64" t="e">
        <f>AF46/AF45</f>
        <v>#DIV/0!</v>
      </c>
      <c r="AG47" s="64" t="e">
        <f>AG46/AG45</f>
        <v>#DIV/0!</v>
      </c>
      <c r="AH47" s="65"/>
      <c r="AI47" s="64" t="e">
        <f>AI46/AI45</f>
        <v>#DIV/0!</v>
      </c>
      <c r="AJ47" s="64" t="e">
        <f>AJ46/AJ45</f>
        <v>#DIV/0!</v>
      </c>
      <c r="AK47" s="65"/>
      <c r="AL47" s="64" t="e">
        <f>AL46/AL45</f>
        <v>#DIV/0!</v>
      </c>
      <c r="AM47" s="64" t="e">
        <f>AM46/AM45</f>
        <v>#DIV/0!</v>
      </c>
      <c r="AN47" s="65"/>
      <c r="AO47" s="64" t="e">
        <f>AO46/AO45</f>
        <v>#DIV/0!</v>
      </c>
      <c r="AP47" s="64" t="e">
        <f>AP46/AP45</f>
        <v>#DIV/0!</v>
      </c>
      <c r="AQ47" s="65"/>
      <c r="AR47" s="64" t="e">
        <f>AR46/AR45</f>
        <v>#DIV/0!</v>
      </c>
      <c r="AS47" s="64" t="e">
        <f>AS46/AS45</f>
        <v>#DIV/0!</v>
      </c>
      <c r="AT47" s="65"/>
      <c r="AU47" s="64" t="e">
        <f>AU46/AU45</f>
        <v>#DIV/0!</v>
      </c>
      <c r="AV47" s="64" t="e">
        <f>AV46/AV45</f>
        <v>#DIV/0!</v>
      </c>
      <c r="AW47" s="65"/>
      <c r="AX47" s="64" t="e">
        <f>AX46/AX45</f>
        <v>#DIV/0!</v>
      </c>
      <c r="AY47" s="64" t="e">
        <f>AY46/AY45</f>
        <v>#DIV/0!</v>
      </c>
      <c r="AZ47" s="65"/>
      <c r="BA47" s="64" t="e">
        <f>BA46/BA45</f>
        <v>#DIV/0!</v>
      </c>
      <c r="BB47" s="64" t="e">
        <f>BB46/BB45</f>
        <v>#DIV/0!</v>
      </c>
      <c r="BC47" s="65"/>
      <c r="BD47" s="64" t="e">
        <f>BD46/BD45</f>
        <v>#DIV/0!</v>
      </c>
      <c r="BE47" s="64" t="e">
        <f>BE46/BE45</f>
        <v>#DIV/0!</v>
      </c>
      <c r="BF47" s="65"/>
      <c r="BG47" s="64" t="e">
        <f>BG46/BG45</f>
        <v>#DIV/0!</v>
      </c>
      <c r="BH47" s="64" t="e">
        <f>BH46/BH45</f>
        <v>#DIV/0!</v>
      </c>
      <c r="BI47" s="65"/>
      <c r="BJ47" s="64" t="e">
        <f>BJ46/BJ45</f>
        <v>#DIV/0!</v>
      </c>
      <c r="BK47" s="64" t="e">
        <f>BK46/BK45</f>
        <v>#DIV/0!</v>
      </c>
      <c r="BL47" s="65"/>
      <c r="BM47" s="64" t="e">
        <f>BM46/BM45</f>
        <v>#DIV/0!</v>
      </c>
      <c r="BN47" s="64" t="e">
        <f>BN46/BN45</f>
        <v>#DIV/0!</v>
      </c>
      <c r="BO47" s="65"/>
      <c r="BP47" s="64" t="e">
        <f>BP46/BP45</f>
        <v>#DIV/0!</v>
      </c>
      <c r="BQ47" s="64" t="e">
        <f>BQ46/BQ45</f>
        <v>#DIV/0!</v>
      </c>
      <c r="BR47" s="65"/>
      <c r="BS47" s="64" t="e">
        <f>BS46/BS45</f>
        <v>#DIV/0!</v>
      </c>
      <c r="BT47" s="64" t="e">
        <f>BT46/BT45</f>
        <v>#DIV/0!</v>
      </c>
      <c r="BU47" s="65"/>
      <c r="BV47" s="64" t="e">
        <f>BV46/BV45</f>
        <v>#DIV/0!</v>
      </c>
      <c r="BW47" s="64" t="e">
        <f>BW46/BW45</f>
        <v>#DIV/0!</v>
      </c>
      <c r="BX47" s="65"/>
      <c r="BY47" s="64" t="e">
        <f>BY46/BY45</f>
        <v>#DIV/0!</v>
      </c>
      <c r="BZ47" s="64" t="e">
        <f>BZ46/BZ45</f>
        <v>#DIV/0!</v>
      </c>
      <c r="CA47" s="65"/>
      <c r="CB47" s="108"/>
    </row>
    <row r="48" spans="1:80" s="1" customFormat="1" ht="19.5" customHeight="1">
      <c r="A48" s="178" t="s">
        <v>149</v>
      </c>
      <c r="B48" s="133" t="s">
        <v>130</v>
      </c>
      <c r="C48" s="81" t="s">
        <v>42</v>
      </c>
      <c r="D48" s="66">
        <v>1302114.8999999999</v>
      </c>
      <c r="E48" s="66">
        <v>543117</v>
      </c>
      <c r="F48" s="66">
        <v>650976</v>
      </c>
      <c r="G48" s="66">
        <v>814141</v>
      </c>
      <c r="H48" s="66">
        <f>635555+1841</f>
        <v>637396</v>
      </c>
      <c r="I48" s="66">
        <v>736550</v>
      </c>
      <c r="J48" s="66">
        <v>798341</v>
      </c>
      <c r="K48" s="66">
        <v>90000</v>
      </c>
      <c r="L48" s="66">
        <v>108000</v>
      </c>
      <c r="M48" s="15">
        <f t="shared" si="0"/>
        <v>19.999999999999996</v>
      </c>
      <c r="N48" s="63">
        <f>Q48-K48</f>
        <v>18000</v>
      </c>
      <c r="O48" s="63">
        <f>R48-L48</f>
        <v>72000</v>
      </c>
      <c r="P48" s="15">
        <f t="shared" si="1"/>
        <v>300</v>
      </c>
      <c r="Q48" s="66">
        <v>108000</v>
      </c>
      <c r="R48" s="66">
        <v>180000</v>
      </c>
      <c r="S48" s="15">
        <f t="shared" si="2"/>
        <v>66.666666666666671</v>
      </c>
      <c r="T48" s="63">
        <f>W48-Q48</f>
        <v>79525</v>
      </c>
      <c r="U48" s="63">
        <f>X48-R48</f>
        <v>108100</v>
      </c>
      <c r="V48" s="15">
        <f t="shared" ref="V48:V49" si="297">(U48/T48-1)*100</f>
        <v>35.93209682489784</v>
      </c>
      <c r="W48" s="66">
        <v>187525</v>
      </c>
      <c r="X48" s="66">
        <f>288100</f>
        <v>288100</v>
      </c>
      <c r="Y48" s="15">
        <f t="shared" ref="Y48:Y49" si="298">(X48/W48-1)*100</f>
        <v>53.632848953472866</v>
      </c>
      <c r="Z48" s="63">
        <f>AC48-W48</f>
        <v>54000</v>
      </c>
      <c r="AA48" s="63">
        <f>AD48-X48</f>
        <v>90006</v>
      </c>
      <c r="AB48" s="15">
        <f t="shared" ref="AB48:AB49" si="299">(AA48/Z48-1)*100</f>
        <v>66.677777777777763</v>
      </c>
      <c r="AC48" s="66">
        <f>234025+7500</f>
        <v>241525</v>
      </c>
      <c r="AD48" s="66">
        <v>378106</v>
      </c>
      <c r="AE48" s="15">
        <f t="shared" ref="AE48:AE49" si="300">(AD48/AC48-1)*100</f>
        <v>56.549425525307925</v>
      </c>
      <c r="AF48" s="63">
        <f>AI48-AC48</f>
        <v>54000</v>
      </c>
      <c r="AG48" s="63">
        <f>AJ48-AD48</f>
        <v>89826</v>
      </c>
      <c r="AH48" s="15">
        <f t="shared" ref="AH48:AH49" si="301">(AG48/AF48-1)*100</f>
        <v>66.344444444444449</v>
      </c>
      <c r="AI48" s="66">
        <f>288025+7500</f>
        <v>295525</v>
      </c>
      <c r="AJ48" s="66">
        <v>467932</v>
      </c>
      <c r="AK48" s="15">
        <f t="shared" ref="AK48:AK49" si="302">(AJ48/AI48-1)*100</f>
        <v>58.339226799763132</v>
      </c>
      <c r="AL48" s="63">
        <f>AO48-AI48</f>
        <v>90000</v>
      </c>
      <c r="AM48" s="63">
        <f>AP48-AJ48</f>
        <v>71999</v>
      </c>
      <c r="AN48" s="15">
        <f t="shared" ref="AN48:AN49" si="303">(AM48/AL48-1)*100</f>
        <v>-20.001111111111115</v>
      </c>
      <c r="AO48" s="66">
        <f>378025+7500</f>
        <v>385525</v>
      </c>
      <c r="AP48" s="66">
        <f>539925+6</f>
        <v>539931</v>
      </c>
      <c r="AQ48" s="15">
        <f t="shared" ref="AQ48:AQ49" si="304">(AP48/AO48-1)*100</f>
        <v>40.050839763958244</v>
      </c>
      <c r="AR48" s="63">
        <f>AU48-AO48</f>
        <v>54006</v>
      </c>
      <c r="AS48" s="63">
        <f>AV48-AP48</f>
        <v>72001</v>
      </c>
      <c r="AT48" s="15">
        <f t="shared" ref="AT48:AT49" si="305">(AS48/AR48-1)*100</f>
        <v>33.320371810539569</v>
      </c>
      <c r="AU48" s="66">
        <f>432025+7506</f>
        <v>439531</v>
      </c>
      <c r="AV48" s="66">
        <v>611932</v>
      </c>
      <c r="AW48" s="15">
        <f t="shared" ref="AW48:AW49" si="306">(AV48/AU48-1)*100</f>
        <v>39.223854517656306</v>
      </c>
      <c r="AX48" s="63">
        <f>BA48-AU48</f>
        <v>36000</v>
      </c>
      <c r="AY48" s="63">
        <f>BB48-AV48</f>
        <v>108000</v>
      </c>
      <c r="AZ48" s="15">
        <f t="shared" ref="AZ48:AZ49" si="307">(AY48/AX48-1)*100</f>
        <v>200</v>
      </c>
      <c r="BA48" s="66">
        <v>475531</v>
      </c>
      <c r="BB48" s="66">
        <v>719932</v>
      </c>
      <c r="BC48" s="15">
        <f t="shared" ref="BC48:BC49" si="308">(BB48/BA48-1)*100</f>
        <v>51.395387472110123</v>
      </c>
      <c r="BD48" s="63">
        <f>BG48-BA48</f>
        <v>54285</v>
      </c>
      <c r="BE48" s="63">
        <f>BH48-BB48</f>
        <v>72001</v>
      </c>
      <c r="BF48" s="15">
        <f t="shared" ref="BF48:BF49" si="309">(BE48/BD48-1)*100</f>
        <v>32.635166252187517</v>
      </c>
      <c r="BG48" s="66">
        <f>522025+7791</f>
        <v>529816</v>
      </c>
      <c r="BH48" s="66">
        <v>791933</v>
      </c>
      <c r="BI48" s="15">
        <f t="shared" ref="BI48:BI49" si="310">(BH48/BG48-1)*100</f>
        <v>49.473213341990416</v>
      </c>
      <c r="BJ48" s="63">
        <f>BM48-BG48</f>
        <v>72000</v>
      </c>
      <c r="BK48" s="63">
        <f>BN48-BH48</f>
        <v>126000</v>
      </c>
      <c r="BL48" s="15">
        <f t="shared" ref="BL48:BL49" si="311">(BK48/BJ48-1)*100</f>
        <v>75</v>
      </c>
      <c r="BM48" s="66">
        <f>594025+7791</f>
        <v>601816</v>
      </c>
      <c r="BN48" s="66">
        <v>917933</v>
      </c>
      <c r="BO48" s="15">
        <f t="shared" ref="BO48:BO49" si="312">(BN48/BM48-1)*100</f>
        <v>52.527184388583883</v>
      </c>
      <c r="BP48" s="63">
        <f>BS48-BM48</f>
        <v>53999</v>
      </c>
      <c r="BQ48" s="63">
        <f>BT48-BN48</f>
        <v>126000</v>
      </c>
      <c r="BR48" s="15">
        <f t="shared" ref="BR48:BR49" si="313">(BQ48/BP48-1)*100</f>
        <v>133.33765440100743</v>
      </c>
      <c r="BS48" s="66">
        <v>655815</v>
      </c>
      <c r="BT48" s="66">
        <v>1043933</v>
      </c>
      <c r="BU48" s="15">
        <f t="shared" ref="BU48:BU49" si="314">(BT48/BS48-1)*100</f>
        <v>59.181019037380977</v>
      </c>
      <c r="BV48" s="63">
        <f>BY48-BS48</f>
        <v>142526</v>
      </c>
      <c r="BW48" s="63">
        <f>BZ48-BT48</f>
        <v>126000</v>
      </c>
      <c r="BX48" s="15">
        <f t="shared" ref="BX48:BX49" si="315">(BW48/BV48-1)*100</f>
        <v>-11.595077389388608</v>
      </c>
      <c r="BY48" s="66">
        <v>798341</v>
      </c>
      <c r="BZ48" s="66">
        <v>1169933</v>
      </c>
      <c r="CA48" s="15">
        <f t="shared" ref="CA48:CA49" si="316">(BZ48/BY48-1)*100</f>
        <v>46.545523779938655</v>
      </c>
      <c r="CB48" s="108"/>
    </row>
    <row r="49" spans="1:80" s="1" customFormat="1" ht="19.5" customHeight="1">
      <c r="A49" s="179"/>
      <c r="B49" s="167"/>
      <c r="C49" s="82" t="s">
        <v>104</v>
      </c>
      <c r="D49" s="17">
        <v>1575212</v>
      </c>
      <c r="E49" s="17">
        <v>686968</v>
      </c>
      <c r="F49" s="17">
        <v>863427</v>
      </c>
      <c r="G49" s="17">
        <v>956282</v>
      </c>
      <c r="H49" s="17">
        <f>690838+345852</f>
        <v>1036690</v>
      </c>
      <c r="I49" s="17">
        <f>1014127+47137</f>
        <v>1061264</v>
      </c>
      <c r="J49" s="17">
        <f>1033936+27600</f>
        <v>1061536</v>
      </c>
      <c r="K49" s="17">
        <v>117900</v>
      </c>
      <c r="L49" s="17">
        <f>140400+1200</f>
        <v>141600</v>
      </c>
      <c r="M49" s="18">
        <f t="shared" si="0"/>
        <v>20.10178117048347</v>
      </c>
      <c r="N49" s="17">
        <f>Q49-K49</f>
        <v>23400</v>
      </c>
      <c r="O49" s="17">
        <f>R49-L49</f>
        <v>93600</v>
      </c>
      <c r="P49" s="18">
        <f t="shared" si="1"/>
        <v>300</v>
      </c>
      <c r="Q49" s="17">
        <v>141300</v>
      </c>
      <c r="R49" s="17">
        <f>234000+1200</f>
        <v>235200</v>
      </c>
      <c r="S49" s="18">
        <f t="shared" si="2"/>
        <v>66.454352441613594</v>
      </c>
      <c r="T49" s="17">
        <f>W49-Q49</f>
        <v>100852</v>
      </c>
      <c r="U49" s="17">
        <f>X49-R49</f>
        <v>141788</v>
      </c>
      <c r="V49" s="18">
        <f t="shared" si="297"/>
        <v>40.590171736802439</v>
      </c>
      <c r="W49" s="17">
        <v>242152</v>
      </c>
      <c r="X49" s="17">
        <f>375788+1200</f>
        <v>376988</v>
      </c>
      <c r="Y49" s="18">
        <f t="shared" si="298"/>
        <v>55.68238131421586</v>
      </c>
      <c r="Z49" s="17">
        <f>AC49-W49</f>
        <v>70200</v>
      </c>
      <c r="AA49" s="17">
        <f>AD49-X49</f>
        <v>131983</v>
      </c>
      <c r="AB49" s="18">
        <f t="shared" si="299"/>
        <v>88.009971509971521</v>
      </c>
      <c r="AC49" s="17">
        <f>306032+6320</f>
        <v>312352</v>
      </c>
      <c r="AD49" s="17">
        <v>508971</v>
      </c>
      <c r="AE49" s="18">
        <f t="shared" si="300"/>
        <v>62.94789212170884</v>
      </c>
      <c r="AF49" s="17">
        <f>AI49-AC49</f>
        <v>70200</v>
      </c>
      <c r="AG49" s="17">
        <f>AJ49-AD49</f>
        <v>122406</v>
      </c>
      <c r="AH49" s="18">
        <f t="shared" si="301"/>
        <v>74.367521367521363</v>
      </c>
      <c r="AI49" s="17">
        <f>376232+6320</f>
        <v>382552</v>
      </c>
      <c r="AJ49" s="17">
        <f>615194+16183</f>
        <v>631377</v>
      </c>
      <c r="AK49" s="18">
        <f t="shared" si="302"/>
        <v>65.043445074133714</v>
      </c>
      <c r="AL49" s="17">
        <f>AO49-AI49</f>
        <v>116460</v>
      </c>
      <c r="AM49" s="17">
        <f>AP49-AJ49</f>
        <v>93600</v>
      </c>
      <c r="AN49" s="18">
        <f t="shared" si="303"/>
        <v>-19.629057187016997</v>
      </c>
      <c r="AO49" s="17">
        <f>492692+6320</f>
        <v>499012</v>
      </c>
      <c r="AP49" s="17">
        <f>708794+16183</f>
        <v>724977</v>
      </c>
      <c r="AQ49" s="18">
        <f t="shared" si="304"/>
        <v>45.282478176877518</v>
      </c>
      <c r="AR49" s="17">
        <f>AU49-AO49</f>
        <v>91210</v>
      </c>
      <c r="AS49" s="17">
        <f>AV49-AP49</f>
        <v>95781</v>
      </c>
      <c r="AT49" s="18">
        <f t="shared" si="305"/>
        <v>5.0115118956254756</v>
      </c>
      <c r="AU49" s="17">
        <f>562892+27330</f>
        <v>590222</v>
      </c>
      <c r="AV49" s="17">
        <f>804575+16183</f>
        <v>820758</v>
      </c>
      <c r="AW49" s="18">
        <f t="shared" si="306"/>
        <v>39.059201453012605</v>
      </c>
      <c r="AX49" s="17">
        <f>BA49-AU49</f>
        <v>46080</v>
      </c>
      <c r="AY49" s="17">
        <f>BB49-AV49</f>
        <v>142764</v>
      </c>
      <c r="AZ49" s="18">
        <f t="shared" si="307"/>
        <v>209.81770833333334</v>
      </c>
      <c r="BA49" s="17">
        <f>608972+27330</f>
        <v>636302</v>
      </c>
      <c r="BB49" s="17">
        <f>947339+16183</f>
        <v>963522</v>
      </c>
      <c r="BC49" s="18">
        <f t="shared" si="308"/>
        <v>51.425266618681079</v>
      </c>
      <c r="BD49" s="17">
        <f>BG49-BA49</f>
        <v>71370</v>
      </c>
      <c r="BE49" s="17">
        <f>BH49-BB49</f>
        <v>97488</v>
      </c>
      <c r="BF49" s="18">
        <f t="shared" si="309"/>
        <v>36.595208070617915</v>
      </c>
      <c r="BG49" s="17">
        <f>680072+27600</f>
        <v>707672</v>
      </c>
      <c r="BH49" s="17">
        <f>1044164+16846</f>
        <v>1061010</v>
      </c>
      <c r="BI49" s="18">
        <f t="shared" si="310"/>
        <v>49.929628415424098</v>
      </c>
      <c r="BJ49" s="17">
        <f>BM49-BG49</f>
        <v>93780</v>
      </c>
      <c r="BK49" s="17">
        <f>BN49-BH49</f>
        <v>169717</v>
      </c>
      <c r="BL49" s="18">
        <f t="shared" si="311"/>
        <v>80.973555129025371</v>
      </c>
      <c r="BM49" s="17">
        <f>773852+27600</f>
        <v>801452</v>
      </c>
      <c r="BN49" s="17">
        <f>1213881+16846</f>
        <v>1230727</v>
      </c>
      <c r="BO49" s="18">
        <f t="shared" si="312"/>
        <v>53.562159680180478</v>
      </c>
      <c r="BP49" s="17">
        <f>BS49-BM49</f>
        <v>68760</v>
      </c>
      <c r="BQ49" s="17">
        <f>BT49-BN49</f>
        <v>164430</v>
      </c>
      <c r="BR49" s="18">
        <f t="shared" si="313"/>
        <v>139.13612565445027</v>
      </c>
      <c r="BS49" s="17">
        <f>842612+27600</f>
        <v>870212</v>
      </c>
      <c r="BT49" s="17">
        <v>1395157</v>
      </c>
      <c r="BU49" s="18">
        <f t="shared" si="314"/>
        <v>60.323806152983408</v>
      </c>
      <c r="BV49" s="17">
        <f>BY49-BS49</f>
        <v>191324</v>
      </c>
      <c r="BW49" s="17">
        <f>BZ49-BT49</f>
        <v>166564</v>
      </c>
      <c r="BX49" s="18">
        <f t="shared" si="315"/>
        <v>-12.941397838222068</v>
      </c>
      <c r="BY49" s="17">
        <f>1033936+27600</f>
        <v>1061536</v>
      </c>
      <c r="BZ49" s="17">
        <v>1561721</v>
      </c>
      <c r="CA49" s="18">
        <f t="shared" si="316"/>
        <v>47.118986073011193</v>
      </c>
      <c r="CB49" s="108"/>
    </row>
    <row r="50" spans="1:80" s="1" customFormat="1" ht="19.5" customHeight="1">
      <c r="A50" s="180"/>
      <c r="B50" s="168"/>
      <c r="C50" s="83" t="s">
        <v>105</v>
      </c>
      <c r="D50" s="64">
        <f t="shared" ref="D50:L50" si="317">D49/D48</f>
        <v>1.2097334881890993</v>
      </c>
      <c r="E50" s="64">
        <f t="shared" si="317"/>
        <v>1.2648618990015044</v>
      </c>
      <c r="F50" s="64">
        <f t="shared" si="317"/>
        <v>1.3263576537383868</v>
      </c>
      <c r="G50" s="64">
        <f t="shared" si="317"/>
        <v>1.1745901508461065</v>
      </c>
      <c r="H50" s="64">
        <f>H49/H48</f>
        <v>1.6264457260478573</v>
      </c>
      <c r="I50" s="64">
        <f>I49/I48</f>
        <v>1.4408580544430114</v>
      </c>
      <c r="J50" s="64">
        <f>J49/J48</f>
        <v>1.3296774185467113</v>
      </c>
      <c r="K50" s="64">
        <f t="shared" si="317"/>
        <v>1.31</v>
      </c>
      <c r="L50" s="64">
        <f t="shared" si="317"/>
        <v>1.3111111111111111</v>
      </c>
      <c r="M50" s="65"/>
      <c r="N50" s="64">
        <f>N49/N48</f>
        <v>1.3</v>
      </c>
      <c r="O50" s="64">
        <f>O49/O48</f>
        <v>1.3</v>
      </c>
      <c r="P50" s="65"/>
      <c r="Q50" s="64">
        <f>Q49/Q48</f>
        <v>1.3083333333333333</v>
      </c>
      <c r="R50" s="64">
        <f>R49/R48</f>
        <v>1.3066666666666666</v>
      </c>
      <c r="S50" s="65"/>
      <c r="T50" s="64">
        <f>T49/T48</f>
        <v>1.2681798176674002</v>
      </c>
      <c r="U50" s="64">
        <f>U49/U48</f>
        <v>1.3116373728029602</v>
      </c>
      <c r="V50" s="65"/>
      <c r="W50" s="64">
        <f>W49/W48</f>
        <v>1.2913051593120917</v>
      </c>
      <c r="X50" s="64">
        <f>X49/X48</f>
        <v>1.308531759805623</v>
      </c>
      <c r="Y50" s="65"/>
      <c r="Z50" s="64">
        <f>Z49/Z48</f>
        <v>1.3</v>
      </c>
      <c r="AA50" s="64">
        <f>AA49/AA48</f>
        <v>1.4663800191098371</v>
      </c>
      <c r="AB50" s="65"/>
      <c r="AC50" s="64">
        <f>AC49/AC48</f>
        <v>1.2932491460511335</v>
      </c>
      <c r="AD50" s="64">
        <f>AD49/AD48</f>
        <v>1.3461066473422796</v>
      </c>
      <c r="AE50" s="65"/>
      <c r="AF50" s="64">
        <f>AF49/AF48</f>
        <v>1.3</v>
      </c>
      <c r="AG50" s="64">
        <f>AG49/AG48</f>
        <v>1.3627012223632355</v>
      </c>
      <c r="AH50" s="65"/>
      <c r="AI50" s="64">
        <f>AI49/AI48</f>
        <v>1.2944827002791641</v>
      </c>
      <c r="AJ50" s="64">
        <f>AJ49/AJ48</f>
        <v>1.3492922048502773</v>
      </c>
      <c r="AK50" s="65"/>
      <c r="AL50" s="64">
        <f>AL49/AL48</f>
        <v>1.294</v>
      </c>
      <c r="AM50" s="64">
        <f>AM49/AM48</f>
        <v>1.3000180558063306</v>
      </c>
      <c r="AN50" s="65"/>
      <c r="AO50" s="64">
        <f>AO49/AO48</f>
        <v>1.2943700149147266</v>
      </c>
      <c r="AP50" s="64">
        <f>AP49/AP48</f>
        <v>1.3427215699783861</v>
      </c>
      <c r="AQ50" s="65"/>
      <c r="AR50" s="64">
        <f>AR49/AR48</f>
        <v>1.6888864200274043</v>
      </c>
      <c r="AS50" s="64">
        <f>AS49/AS48</f>
        <v>1.3302731906501299</v>
      </c>
      <c r="AT50" s="65"/>
      <c r="AU50" s="64">
        <f>AU49/AU48</f>
        <v>1.3428449870430073</v>
      </c>
      <c r="AV50" s="64">
        <f>AV49/AV48</f>
        <v>1.3412568716785525</v>
      </c>
      <c r="AW50" s="65"/>
      <c r="AX50" s="64">
        <f>AX49/AX48</f>
        <v>1.28</v>
      </c>
      <c r="AY50" s="64">
        <f>AY49/AY48</f>
        <v>1.3218888888888889</v>
      </c>
      <c r="AZ50" s="65"/>
      <c r="BA50" s="64">
        <f>BA49/BA48</f>
        <v>1.338087317125487</v>
      </c>
      <c r="BB50" s="64">
        <f>BB49/BB48</f>
        <v>1.3383513998544307</v>
      </c>
      <c r="BC50" s="65"/>
      <c r="BD50" s="64">
        <f>BD49/BD48</f>
        <v>1.3147278253661232</v>
      </c>
      <c r="BE50" s="64">
        <f>BE49/BE48</f>
        <v>1.3539811947056291</v>
      </c>
      <c r="BF50" s="65"/>
      <c r="BG50" s="64">
        <f>BG49/BG48</f>
        <v>1.3356939012789346</v>
      </c>
      <c r="BH50" s="64">
        <f>BH49/BH48</f>
        <v>1.3397724302434675</v>
      </c>
      <c r="BI50" s="65"/>
      <c r="BJ50" s="64">
        <f>BJ49/BJ48</f>
        <v>1.3025</v>
      </c>
      <c r="BK50" s="64">
        <f>BK49/BK48</f>
        <v>1.3469603174603175</v>
      </c>
      <c r="BL50" s="65"/>
      <c r="BM50" s="64">
        <f>BM49/BM48</f>
        <v>1.3317226527709467</v>
      </c>
      <c r="BN50" s="64">
        <f>BN49/BN48</f>
        <v>1.3407590750087424</v>
      </c>
      <c r="BO50" s="65"/>
      <c r="BP50" s="64">
        <f>BP49/BP48</f>
        <v>1.2733569140169263</v>
      </c>
      <c r="BQ50" s="64">
        <f>BQ49/BQ48</f>
        <v>1.3049999999999999</v>
      </c>
      <c r="BR50" s="65"/>
      <c r="BS50" s="64">
        <f>BS49/BS48</f>
        <v>1.3269168896716299</v>
      </c>
      <c r="BT50" s="64">
        <f>BT49/BT48</f>
        <v>1.3364430475902189</v>
      </c>
      <c r="BU50" s="65"/>
      <c r="BV50" s="64">
        <f>BV49/BV48</f>
        <v>1.3423796359962392</v>
      </c>
      <c r="BW50" s="64">
        <f>BW49/BW48</f>
        <v>1.321936507936508</v>
      </c>
      <c r="BX50" s="65"/>
      <c r="BY50" s="64">
        <f>BY49/BY48</f>
        <v>1.3296774185467113</v>
      </c>
      <c r="BZ50" s="64">
        <f>BZ49/BZ48</f>
        <v>1.3348807153913942</v>
      </c>
      <c r="CA50" s="65"/>
      <c r="CB50" s="108"/>
    </row>
    <row r="51" spans="1:80" s="1" customFormat="1" ht="19.5" customHeight="1">
      <c r="A51" s="178" t="s">
        <v>150</v>
      </c>
      <c r="B51" s="133" t="s">
        <v>131</v>
      </c>
      <c r="C51" s="81" t="s">
        <v>42</v>
      </c>
      <c r="D51" s="66">
        <v>0.6</v>
      </c>
      <c r="E51" s="66">
        <v>1.2</v>
      </c>
      <c r="F51" s="66">
        <v>1.2</v>
      </c>
      <c r="G51" s="66">
        <v>60976</v>
      </c>
      <c r="H51" s="66">
        <f>1722381+238637</f>
        <v>1961018</v>
      </c>
      <c r="I51" s="66">
        <v>1003733</v>
      </c>
      <c r="J51" s="66">
        <v>0</v>
      </c>
      <c r="K51" s="66">
        <v>0</v>
      </c>
      <c r="L51" s="66">
        <v>0</v>
      </c>
      <c r="M51" s="15" t="e">
        <f t="shared" si="0"/>
        <v>#DIV/0!</v>
      </c>
      <c r="N51" s="63">
        <f>Q51-K51</f>
        <v>0</v>
      </c>
      <c r="O51" s="63">
        <f>R51-L51</f>
        <v>0</v>
      </c>
      <c r="P51" s="15" t="e">
        <f t="shared" si="1"/>
        <v>#DIV/0!</v>
      </c>
      <c r="Q51" s="66">
        <v>0</v>
      </c>
      <c r="R51" s="66">
        <v>0</v>
      </c>
      <c r="S51" s="15" t="e">
        <f t="shared" si="2"/>
        <v>#DIV/0!</v>
      </c>
      <c r="T51" s="63">
        <f>W51-Q51</f>
        <v>0</v>
      </c>
      <c r="U51" s="63">
        <f>X51-R51</f>
        <v>0</v>
      </c>
      <c r="V51" s="15" t="e">
        <f t="shared" ref="V51:V52" si="318">(U51/T51-1)*100</f>
        <v>#DIV/0!</v>
      </c>
      <c r="W51" s="66">
        <v>0</v>
      </c>
      <c r="X51" s="66">
        <v>0</v>
      </c>
      <c r="Y51" s="15" t="e">
        <f t="shared" ref="Y51:Y52" si="319">(X51/W51-1)*100</f>
        <v>#DIV/0!</v>
      </c>
      <c r="Z51" s="63">
        <f>AC51-W51</f>
        <v>0</v>
      </c>
      <c r="AA51" s="63">
        <f>AD51-X51</f>
        <v>0</v>
      </c>
      <c r="AB51" s="15" t="e">
        <f t="shared" ref="AB51:AB52" si="320">(AA51/Z51-1)*100</f>
        <v>#DIV/0!</v>
      </c>
      <c r="AC51" s="66">
        <v>0</v>
      </c>
      <c r="AD51" s="66">
        <v>0</v>
      </c>
      <c r="AE51" s="15" t="e">
        <f t="shared" ref="AE51:AE52" si="321">(AD51/AC51-1)*100</f>
        <v>#DIV/0!</v>
      </c>
      <c r="AF51" s="63">
        <f>AI51-AC51</f>
        <v>0</v>
      </c>
      <c r="AG51" s="63">
        <f>AJ51-AD51</f>
        <v>0</v>
      </c>
      <c r="AH51" s="15" t="e">
        <f t="shared" ref="AH51:AH52" si="322">(AG51/AF51-1)*100</f>
        <v>#DIV/0!</v>
      </c>
      <c r="AI51" s="66">
        <v>0</v>
      </c>
      <c r="AJ51" s="66">
        <v>0</v>
      </c>
      <c r="AK51" s="15" t="e">
        <f t="shared" ref="AK51:AK52" si="323">(AJ51/AI51-1)*100</f>
        <v>#DIV/0!</v>
      </c>
      <c r="AL51" s="63">
        <f>AO51-AI51</f>
        <v>0</v>
      </c>
      <c r="AM51" s="63">
        <f>AP51-AJ51</f>
        <v>0</v>
      </c>
      <c r="AN51" s="15" t="e">
        <f t="shared" ref="AN51:AN52" si="324">(AM51/AL51-1)*100</f>
        <v>#DIV/0!</v>
      </c>
      <c r="AO51" s="66">
        <v>0</v>
      </c>
      <c r="AP51" s="66">
        <v>0</v>
      </c>
      <c r="AQ51" s="15" t="e">
        <f t="shared" ref="AQ51:AQ52" si="325">(AP51/AO51-1)*100</f>
        <v>#DIV/0!</v>
      </c>
      <c r="AR51" s="63">
        <f>AU51-AO51</f>
        <v>0</v>
      </c>
      <c r="AS51" s="63">
        <f>AV51-AP51</f>
        <v>0</v>
      </c>
      <c r="AT51" s="15" t="e">
        <f t="shared" ref="AT51:AT52" si="326">(AS51/AR51-1)*100</f>
        <v>#DIV/0!</v>
      </c>
      <c r="AU51" s="66">
        <v>0</v>
      </c>
      <c r="AV51" s="66">
        <v>0</v>
      </c>
      <c r="AW51" s="15" t="e">
        <f t="shared" ref="AW51:AW52" si="327">(AV51/AU51-1)*100</f>
        <v>#DIV/0!</v>
      </c>
      <c r="AX51" s="63">
        <f>BA51-AU51</f>
        <v>0</v>
      </c>
      <c r="AY51" s="63">
        <f>BB51-AV51</f>
        <v>0</v>
      </c>
      <c r="AZ51" s="15" t="e">
        <f t="shared" ref="AZ51:AZ52" si="328">(AY51/AX51-1)*100</f>
        <v>#DIV/0!</v>
      </c>
      <c r="BA51" s="66">
        <v>0</v>
      </c>
      <c r="BB51" s="66">
        <v>0</v>
      </c>
      <c r="BC51" s="15" t="e">
        <f t="shared" ref="BC51:BC52" si="329">(BB51/BA51-1)*100</f>
        <v>#DIV/0!</v>
      </c>
      <c r="BD51" s="63">
        <f>BG51-BA51</f>
        <v>0</v>
      </c>
      <c r="BE51" s="63">
        <f>BH51-BB51</f>
        <v>823</v>
      </c>
      <c r="BF51" s="15" t="e">
        <f t="shared" ref="BF51:BF52" si="330">(BE51/BD51-1)*100</f>
        <v>#DIV/0!</v>
      </c>
      <c r="BG51" s="66">
        <v>0</v>
      </c>
      <c r="BH51" s="66">
        <v>823</v>
      </c>
      <c r="BI51" s="15" t="e">
        <f t="shared" ref="BI51:BI52" si="331">(BH51/BG51-1)*100</f>
        <v>#DIV/0!</v>
      </c>
      <c r="BJ51" s="63">
        <f>BM51-BG51</f>
        <v>0</v>
      </c>
      <c r="BK51" s="63">
        <f>BN51-BH51</f>
        <v>0</v>
      </c>
      <c r="BL51" s="15" t="e">
        <f t="shared" ref="BL51:BL52" si="332">(BK51/BJ51-1)*100</f>
        <v>#DIV/0!</v>
      </c>
      <c r="BM51" s="66">
        <v>0</v>
      </c>
      <c r="BN51" s="66">
        <v>823</v>
      </c>
      <c r="BO51" s="15" t="e">
        <f t="shared" ref="BO51:BO52" si="333">(BN51/BM51-1)*100</f>
        <v>#DIV/0!</v>
      </c>
      <c r="BP51" s="63">
        <f>BS51-BM51</f>
        <v>0</v>
      </c>
      <c r="BQ51" s="63">
        <f>BT51-BN51</f>
        <v>0</v>
      </c>
      <c r="BR51" s="15" t="e">
        <f t="shared" ref="BR51:BR52" si="334">(BQ51/BP51-1)*100</f>
        <v>#DIV/0!</v>
      </c>
      <c r="BS51" s="66">
        <v>0</v>
      </c>
      <c r="BT51" s="66">
        <v>823</v>
      </c>
      <c r="BU51" s="15" t="e">
        <f t="shared" ref="BU51:BU52" si="335">(BT51/BS51-1)*100</f>
        <v>#DIV/0!</v>
      </c>
      <c r="BV51" s="63">
        <f>BY51-BS51</f>
        <v>0</v>
      </c>
      <c r="BW51" s="63">
        <f>BZ51-BT51</f>
        <v>2</v>
      </c>
      <c r="BX51" s="15" t="e">
        <f t="shared" ref="BX51:BX52" si="336">(BW51/BV51-1)*100</f>
        <v>#DIV/0!</v>
      </c>
      <c r="BY51" s="66">
        <v>0</v>
      </c>
      <c r="BZ51" s="66">
        <v>825</v>
      </c>
      <c r="CA51" s="15" t="e">
        <f t="shared" ref="CA51:CA52" si="337">(BZ51/BY51-1)*100</f>
        <v>#DIV/0!</v>
      </c>
      <c r="CB51" s="108"/>
    </row>
    <row r="52" spans="1:80" s="1" customFormat="1" ht="19.5" customHeight="1">
      <c r="A52" s="179"/>
      <c r="B52" s="167"/>
      <c r="C52" s="82" t="s">
        <v>104</v>
      </c>
      <c r="D52" s="17">
        <v>350</v>
      </c>
      <c r="E52" s="17">
        <v>359</v>
      </c>
      <c r="F52" s="17">
        <v>0</v>
      </c>
      <c r="G52" s="69">
        <v>41587</v>
      </c>
      <c r="H52" s="17">
        <f>2260753+601216</f>
        <v>2861969</v>
      </c>
      <c r="I52" s="17">
        <f>1465532+1715</f>
        <v>1467247</v>
      </c>
      <c r="J52" s="17">
        <v>0</v>
      </c>
      <c r="K52" s="17">
        <v>0</v>
      </c>
      <c r="L52" s="17">
        <v>0</v>
      </c>
      <c r="M52" s="18" t="e">
        <f t="shared" si="0"/>
        <v>#DIV/0!</v>
      </c>
      <c r="N52" s="17">
        <f>Q52-K52</f>
        <v>0</v>
      </c>
      <c r="O52" s="17">
        <f>R52-L52</f>
        <v>0</v>
      </c>
      <c r="P52" s="18" t="e">
        <f t="shared" si="1"/>
        <v>#DIV/0!</v>
      </c>
      <c r="Q52" s="17">
        <v>0</v>
      </c>
      <c r="R52" s="17">
        <v>0</v>
      </c>
      <c r="S52" s="18" t="e">
        <f t="shared" si="2"/>
        <v>#DIV/0!</v>
      </c>
      <c r="T52" s="17">
        <f>W52-Q52</f>
        <v>0</v>
      </c>
      <c r="U52" s="17">
        <f>X52-R52</f>
        <v>0</v>
      </c>
      <c r="V52" s="18" t="e">
        <f t="shared" si="318"/>
        <v>#DIV/0!</v>
      </c>
      <c r="W52" s="17">
        <v>0</v>
      </c>
      <c r="X52" s="17">
        <v>0</v>
      </c>
      <c r="Y52" s="18" t="e">
        <f t="shared" si="319"/>
        <v>#DIV/0!</v>
      </c>
      <c r="Z52" s="17">
        <f>AC52-W52</f>
        <v>0</v>
      </c>
      <c r="AA52" s="17">
        <f>AD52-X52</f>
        <v>0</v>
      </c>
      <c r="AB52" s="18" t="e">
        <f t="shared" si="320"/>
        <v>#DIV/0!</v>
      </c>
      <c r="AC52" s="17">
        <v>0</v>
      </c>
      <c r="AD52" s="17">
        <v>0</v>
      </c>
      <c r="AE52" s="18" t="e">
        <f t="shared" si="321"/>
        <v>#DIV/0!</v>
      </c>
      <c r="AF52" s="17">
        <f>AI52-AC52</f>
        <v>0</v>
      </c>
      <c r="AG52" s="17">
        <f>AJ52-AD52</f>
        <v>0</v>
      </c>
      <c r="AH52" s="18" t="e">
        <f t="shared" si="322"/>
        <v>#DIV/0!</v>
      </c>
      <c r="AI52" s="17">
        <v>0</v>
      </c>
      <c r="AJ52" s="17">
        <v>0</v>
      </c>
      <c r="AK52" s="18" t="e">
        <f t="shared" si="323"/>
        <v>#DIV/0!</v>
      </c>
      <c r="AL52" s="17">
        <f>AO52-AI52</f>
        <v>0</v>
      </c>
      <c r="AM52" s="17">
        <f>AP52-AJ52</f>
        <v>1170</v>
      </c>
      <c r="AN52" s="18" t="e">
        <f t="shared" si="324"/>
        <v>#DIV/0!</v>
      </c>
      <c r="AO52" s="17">
        <v>0</v>
      </c>
      <c r="AP52" s="17">
        <v>1170</v>
      </c>
      <c r="AQ52" s="18" t="e">
        <f t="shared" si="325"/>
        <v>#DIV/0!</v>
      </c>
      <c r="AR52" s="17">
        <f>AU52-AO52</f>
        <v>0</v>
      </c>
      <c r="AS52" s="17">
        <f>AV52-AP52</f>
        <v>0</v>
      </c>
      <c r="AT52" s="18" t="e">
        <f t="shared" si="326"/>
        <v>#DIV/0!</v>
      </c>
      <c r="AU52" s="17">
        <v>0</v>
      </c>
      <c r="AV52" s="17">
        <v>1170</v>
      </c>
      <c r="AW52" s="18" t="e">
        <f t="shared" si="327"/>
        <v>#DIV/0!</v>
      </c>
      <c r="AX52" s="17">
        <f>BA52-AU52</f>
        <v>0</v>
      </c>
      <c r="AY52" s="17">
        <f>BB52-AV52</f>
        <v>0</v>
      </c>
      <c r="AZ52" s="18" t="e">
        <f t="shared" si="328"/>
        <v>#DIV/0!</v>
      </c>
      <c r="BA52" s="17">
        <v>0</v>
      </c>
      <c r="BB52" s="17">
        <v>1170</v>
      </c>
      <c r="BC52" s="18" t="e">
        <f t="shared" si="329"/>
        <v>#DIV/0!</v>
      </c>
      <c r="BD52" s="17">
        <f>BG52-BA52</f>
        <v>0</v>
      </c>
      <c r="BE52" s="17">
        <f>BH52-BB52</f>
        <v>7364</v>
      </c>
      <c r="BF52" s="18" t="e">
        <f t="shared" si="330"/>
        <v>#DIV/0!</v>
      </c>
      <c r="BG52" s="17">
        <v>0</v>
      </c>
      <c r="BH52" s="17">
        <v>8534</v>
      </c>
      <c r="BI52" s="18" t="e">
        <f t="shared" si="331"/>
        <v>#DIV/0!</v>
      </c>
      <c r="BJ52" s="17">
        <f>BM52-BG52</f>
        <v>0</v>
      </c>
      <c r="BK52" s="17">
        <f>BN52-BH52</f>
        <v>0</v>
      </c>
      <c r="BL52" s="18" t="e">
        <f t="shared" si="332"/>
        <v>#DIV/0!</v>
      </c>
      <c r="BM52" s="17">
        <v>0</v>
      </c>
      <c r="BN52" s="17">
        <v>8534</v>
      </c>
      <c r="BO52" s="18" t="e">
        <f t="shared" si="333"/>
        <v>#DIV/0!</v>
      </c>
      <c r="BP52" s="17">
        <f>BS52-BM52</f>
        <v>0</v>
      </c>
      <c r="BQ52" s="17">
        <f>BT52-BN52</f>
        <v>1257</v>
      </c>
      <c r="BR52" s="18" t="e">
        <f t="shared" si="334"/>
        <v>#DIV/0!</v>
      </c>
      <c r="BS52" s="17">
        <v>0</v>
      </c>
      <c r="BT52" s="17">
        <v>9791</v>
      </c>
      <c r="BU52" s="18" t="e">
        <f t="shared" si="335"/>
        <v>#DIV/0!</v>
      </c>
      <c r="BV52" s="17">
        <f>BY52-BS52</f>
        <v>0</v>
      </c>
      <c r="BW52" s="17">
        <f>BZ52-BT52</f>
        <v>3631</v>
      </c>
      <c r="BX52" s="18" t="e">
        <f t="shared" si="336"/>
        <v>#DIV/0!</v>
      </c>
      <c r="BY52" s="17">
        <v>0</v>
      </c>
      <c r="BZ52" s="17">
        <v>13422</v>
      </c>
      <c r="CA52" s="18" t="e">
        <f t="shared" si="337"/>
        <v>#DIV/0!</v>
      </c>
      <c r="CB52" s="108"/>
    </row>
    <row r="53" spans="1:80" s="1" customFormat="1" ht="19.5" customHeight="1">
      <c r="A53" s="180"/>
      <c r="B53" s="168"/>
      <c r="C53" s="83" t="s">
        <v>105</v>
      </c>
      <c r="D53" s="64">
        <f t="shared" ref="D53:L53" si="338">D52/D51</f>
        <v>583.33333333333337</v>
      </c>
      <c r="E53" s="64">
        <f t="shared" si="338"/>
        <v>299.16666666666669</v>
      </c>
      <c r="F53" s="64">
        <f t="shared" si="338"/>
        <v>0</v>
      </c>
      <c r="G53" s="64">
        <f t="shared" si="338"/>
        <v>0.68202243505641569</v>
      </c>
      <c r="H53" s="64">
        <f>H52/H51</f>
        <v>1.4594302551021969</v>
      </c>
      <c r="I53" s="64">
        <f>I52/I51</f>
        <v>1.4617901374170224</v>
      </c>
      <c r="J53" s="64" t="e">
        <f>J52/J51</f>
        <v>#DIV/0!</v>
      </c>
      <c r="K53" s="64" t="e">
        <f t="shared" si="338"/>
        <v>#DIV/0!</v>
      </c>
      <c r="L53" s="64" t="e">
        <f t="shared" si="338"/>
        <v>#DIV/0!</v>
      </c>
      <c r="M53" s="65"/>
      <c r="N53" s="64" t="e">
        <f>N52/N51</f>
        <v>#DIV/0!</v>
      </c>
      <c r="O53" s="64" t="e">
        <f>O52/O51</f>
        <v>#DIV/0!</v>
      </c>
      <c r="P53" s="65"/>
      <c r="Q53" s="64" t="e">
        <f>Q52/Q51</f>
        <v>#DIV/0!</v>
      </c>
      <c r="R53" s="64" t="e">
        <f>R52/R51</f>
        <v>#DIV/0!</v>
      </c>
      <c r="S53" s="65"/>
      <c r="T53" s="64" t="e">
        <f>T52/T51</f>
        <v>#DIV/0!</v>
      </c>
      <c r="U53" s="64" t="e">
        <f>U52/U51</f>
        <v>#DIV/0!</v>
      </c>
      <c r="V53" s="65"/>
      <c r="W53" s="64" t="e">
        <f>W52/W51</f>
        <v>#DIV/0!</v>
      </c>
      <c r="X53" s="64" t="e">
        <f>X52/X51</f>
        <v>#DIV/0!</v>
      </c>
      <c r="Y53" s="65"/>
      <c r="Z53" s="64" t="e">
        <f>Z52/Z51</f>
        <v>#DIV/0!</v>
      </c>
      <c r="AA53" s="64" t="e">
        <f>AA52/AA51</f>
        <v>#DIV/0!</v>
      </c>
      <c r="AB53" s="65"/>
      <c r="AC53" s="64" t="e">
        <f>AC52/AC51</f>
        <v>#DIV/0!</v>
      </c>
      <c r="AD53" s="64" t="e">
        <f>AD52/AD51</f>
        <v>#DIV/0!</v>
      </c>
      <c r="AE53" s="65"/>
      <c r="AF53" s="64" t="e">
        <f>AF52/AF51</f>
        <v>#DIV/0!</v>
      </c>
      <c r="AG53" s="64" t="e">
        <f>AG52/AG51</f>
        <v>#DIV/0!</v>
      </c>
      <c r="AH53" s="65"/>
      <c r="AI53" s="64" t="e">
        <f>AI52/AI51</f>
        <v>#DIV/0!</v>
      </c>
      <c r="AJ53" s="64" t="e">
        <f>AJ52/AJ51</f>
        <v>#DIV/0!</v>
      </c>
      <c r="AK53" s="65"/>
      <c r="AL53" s="64" t="e">
        <f>AL52/AL51</f>
        <v>#DIV/0!</v>
      </c>
      <c r="AM53" s="64" t="e">
        <f>AM52/AM51</f>
        <v>#DIV/0!</v>
      </c>
      <c r="AN53" s="65"/>
      <c r="AO53" s="64" t="e">
        <f>AO52/AO51</f>
        <v>#DIV/0!</v>
      </c>
      <c r="AP53" s="64" t="e">
        <f>AP52/AP51</f>
        <v>#DIV/0!</v>
      </c>
      <c r="AQ53" s="65"/>
      <c r="AR53" s="64" t="e">
        <f>AR52/AR51</f>
        <v>#DIV/0!</v>
      </c>
      <c r="AS53" s="64" t="e">
        <f>AS52/AS51</f>
        <v>#DIV/0!</v>
      </c>
      <c r="AT53" s="65"/>
      <c r="AU53" s="64" t="e">
        <f>AU52/AU51</f>
        <v>#DIV/0!</v>
      </c>
      <c r="AV53" s="64" t="e">
        <f>AV52/AV51</f>
        <v>#DIV/0!</v>
      </c>
      <c r="AW53" s="65"/>
      <c r="AX53" s="64" t="e">
        <f>AX52/AX51</f>
        <v>#DIV/0!</v>
      </c>
      <c r="AY53" s="64" t="e">
        <f>AY52/AY51</f>
        <v>#DIV/0!</v>
      </c>
      <c r="AZ53" s="65"/>
      <c r="BA53" s="64" t="e">
        <f>BA52/BA51</f>
        <v>#DIV/0!</v>
      </c>
      <c r="BB53" s="64" t="e">
        <f>BB52/BB51</f>
        <v>#DIV/0!</v>
      </c>
      <c r="BC53" s="65"/>
      <c r="BD53" s="64" t="e">
        <f>BD52/BD51</f>
        <v>#DIV/0!</v>
      </c>
      <c r="BE53" s="64">
        <f>BE52/BE51</f>
        <v>8.9477521263669502</v>
      </c>
      <c r="BF53" s="65"/>
      <c r="BG53" s="64" t="e">
        <f>BG52/BG51</f>
        <v>#DIV/0!</v>
      </c>
      <c r="BH53" s="64">
        <f>BH52/BH51</f>
        <v>10.369380315917375</v>
      </c>
      <c r="BI53" s="65"/>
      <c r="BJ53" s="64" t="e">
        <f>BJ52/BJ51</f>
        <v>#DIV/0!</v>
      </c>
      <c r="BK53" s="64" t="e">
        <f>BK52/BK51</f>
        <v>#DIV/0!</v>
      </c>
      <c r="BL53" s="65"/>
      <c r="BM53" s="64" t="e">
        <f>BM52/BM51</f>
        <v>#DIV/0!</v>
      </c>
      <c r="BN53" s="64">
        <f>BN52/BN51</f>
        <v>10.369380315917375</v>
      </c>
      <c r="BO53" s="65"/>
      <c r="BP53" s="64" t="e">
        <f>BP52/BP51</f>
        <v>#DIV/0!</v>
      </c>
      <c r="BQ53" s="64" t="e">
        <f>BQ52/BQ51</f>
        <v>#DIV/0!</v>
      </c>
      <c r="BR53" s="65"/>
      <c r="BS53" s="64" t="e">
        <f>BS52/BS51</f>
        <v>#DIV/0!</v>
      </c>
      <c r="BT53" s="64">
        <f>BT52/BT51</f>
        <v>11.896719319562576</v>
      </c>
      <c r="BU53" s="65"/>
      <c r="BV53" s="64" t="e">
        <f>BV52/BV51</f>
        <v>#DIV/0!</v>
      </c>
      <c r="BW53" s="64">
        <f>BW52/BW51</f>
        <v>1815.5</v>
      </c>
      <c r="BX53" s="65"/>
      <c r="BY53" s="64" t="e">
        <f>BY52/BY51</f>
        <v>#DIV/0!</v>
      </c>
      <c r="BZ53" s="64">
        <f>BZ52/BZ51</f>
        <v>16.269090909090909</v>
      </c>
      <c r="CA53" s="65"/>
      <c r="CB53" s="108"/>
    </row>
    <row r="54" spans="1:80" s="1" customFormat="1" ht="19.5" customHeight="1">
      <c r="A54" s="178" t="s">
        <v>151</v>
      </c>
      <c r="B54" s="133" t="s">
        <v>7</v>
      </c>
      <c r="C54" s="81" t="s">
        <v>42</v>
      </c>
      <c r="D54" s="66">
        <v>1</v>
      </c>
      <c r="E54" s="66">
        <v>14760</v>
      </c>
      <c r="F54" s="66">
        <v>22015</v>
      </c>
      <c r="G54" s="66">
        <v>8854</v>
      </c>
      <c r="H54" s="66">
        <f>14395+385</f>
        <v>14780</v>
      </c>
      <c r="I54" s="66">
        <v>18831</v>
      </c>
      <c r="J54" s="66">
        <v>10127</v>
      </c>
      <c r="K54" s="66">
        <v>620</v>
      </c>
      <c r="L54" s="66">
        <v>178</v>
      </c>
      <c r="M54" s="15">
        <f t="shared" si="0"/>
        <v>-71.290322580645153</v>
      </c>
      <c r="N54" s="63">
        <f>Q54-K54</f>
        <v>503</v>
      </c>
      <c r="O54" s="63">
        <f>R54-L54</f>
        <v>517</v>
      </c>
      <c r="P54" s="15">
        <f t="shared" si="1"/>
        <v>2.7833001988071482</v>
      </c>
      <c r="Q54" s="66">
        <v>1123</v>
      </c>
      <c r="R54" s="66">
        <v>695</v>
      </c>
      <c r="S54" s="15">
        <f t="shared" si="2"/>
        <v>-38.112199465716834</v>
      </c>
      <c r="T54" s="63">
        <f>W54-Q54</f>
        <v>824</v>
      </c>
      <c r="U54" s="63">
        <f>X54-R54</f>
        <v>759</v>
      </c>
      <c r="V54" s="15">
        <f t="shared" ref="V54:V55" si="339">(U54/T54-1)*100</f>
        <v>-7.8883495145631084</v>
      </c>
      <c r="W54" s="66">
        <v>1947</v>
      </c>
      <c r="X54" s="66">
        <v>1454</v>
      </c>
      <c r="Y54" s="15">
        <f t="shared" ref="Y54:Y55" si="340">(X54/W54-1)*100</f>
        <v>-25.321006676938886</v>
      </c>
      <c r="Z54" s="63">
        <f>AC54-W54</f>
        <v>483</v>
      </c>
      <c r="AA54" s="63">
        <f>AD54-X54</f>
        <v>2360</v>
      </c>
      <c r="AB54" s="15">
        <f t="shared" ref="AB54:AB55" si="341">(AA54/Z54-1)*100</f>
        <v>388.61283643892335</v>
      </c>
      <c r="AC54" s="66">
        <f>1853+577</f>
        <v>2430</v>
      </c>
      <c r="AD54" s="66">
        <v>3814</v>
      </c>
      <c r="AE54" s="15">
        <f t="shared" ref="AE54:AE55" si="342">(AD54/AC54-1)*100</f>
        <v>56.954732510288068</v>
      </c>
      <c r="AF54" s="63">
        <f>AI54-AC54</f>
        <v>853</v>
      </c>
      <c r="AG54" s="63">
        <f>AJ54-AD54</f>
        <v>313</v>
      </c>
      <c r="AH54" s="15">
        <f t="shared" ref="AH54:AH55" si="343">(AG54/AF54-1)*100</f>
        <v>-63.305978898007034</v>
      </c>
      <c r="AI54" s="66">
        <f>2706+577</f>
        <v>3283</v>
      </c>
      <c r="AJ54" s="66">
        <v>4127</v>
      </c>
      <c r="AK54" s="15">
        <f t="shared" ref="AK54:AK55" si="344">(AJ54/AI54-1)*100</f>
        <v>25.708193725251306</v>
      </c>
      <c r="AL54" s="63">
        <f>AO54-AI54</f>
        <v>800</v>
      </c>
      <c r="AM54" s="63">
        <f>AP54-AJ54</f>
        <v>591</v>
      </c>
      <c r="AN54" s="15">
        <f t="shared" ref="AN54:AN55" si="345">(AM54/AL54-1)*100</f>
        <v>-26.125</v>
      </c>
      <c r="AO54" s="66">
        <f>3275+808</f>
        <v>4083</v>
      </c>
      <c r="AP54" s="66">
        <f>4486+232</f>
        <v>4718</v>
      </c>
      <c r="AQ54" s="15">
        <f t="shared" ref="AQ54:AQ55" si="346">(AP54/AO54-1)*100</f>
        <v>15.552289982855738</v>
      </c>
      <c r="AR54" s="63">
        <f>AU54-AO54</f>
        <v>1012</v>
      </c>
      <c r="AS54" s="63">
        <f>AV54-AP54</f>
        <v>166</v>
      </c>
      <c r="AT54" s="15">
        <f t="shared" ref="AT54:AT55" si="347">(AS54/AR54-1)*100</f>
        <v>-83.596837944664031</v>
      </c>
      <c r="AU54" s="66">
        <f>4028+1067</f>
        <v>5095</v>
      </c>
      <c r="AV54" s="66">
        <v>4884</v>
      </c>
      <c r="AW54" s="15">
        <f t="shared" ref="AW54:AW55" si="348">(AV54/AU54-1)*100</f>
        <v>-4.1413150147203144</v>
      </c>
      <c r="AX54" s="63">
        <f>BA54-AU54</f>
        <v>310</v>
      </c>
      <c r="AY54" s="63">
        <f>BB54-AV54</f>
        <v>304</v>
      </c>
      <c r="AZ54" s="15">
        <f t="shared" ref="AZ54:AZ55" si="349">(AY54/AX54-1)*100</f>
        <v>-1.9354838709677469</v>
      </c>
      <c r="BA54" s="66">
        <v>5405</v>
      </c>
      <c r="BB54" s="66">
        <v>5188</v>
      </c>
      <c r="BC54" s="15">
        <f t="shared" ref="BC54:BC55" si="350">(BB54/BA54-1)*100</f>
        <v>-4.0148011100832548</v>
      </c>
      <c r="BD54" s="63">
        <f>BG54-BA54</f>
        <v>965</v>
      </c>
      <c r="BE54" s="63">
        <f>BH54-BB54</f>
        <v>227</v>
      </c>
      <c r="BF54" s="15">
        <f t="shared" ref="BF54:BF55" si="351">(BE54/BD54-1)*100</f>
        <v>-76.476683937823836</v>
      </c>
      <c r="BG54" s="66">
        <v>6370</v>
      </c>
      <c r="BH54" s="66">
        <v>5415</v>
      </c>
      <c r="BI54" s="15">
        <f t="shared" ref="BI54:BI55" si="352">(BH54/BG54-1)*100</f>
        <v>-14.992150706436425</v>
      </c>
      <c r="BJ54" s="63">
        <f>BM54-BG54</f>
        <v>745</v>
      </c>
      <c r="BK54" s="63">
        <f>BN54-BH54</f>
        <v>270</v>
      </c>
      <c r="BL54" s="15">
        <f t="shared" ref="BL54:BL55" si="353">(BK54/BJ54-1)*100</f>
        <v>-63.758389261744973</v>
      </c>
      <c r="BM54" s="66">
        <v>7115</v>
      </c>
      <c r="BN54" s="66">
        <v>5685</v>
      </c>
      <c r="BO54" s="15">
        <f t="shared" ref="BO54:BO55" si="354">(BN54/BM54-1)*100</f>
        <v>-20.098383696416022</v>
      </c>
      <c r="BP54" s="63">
        <f>BS54-BM54</f>
        <v>2346</v>
      </c>
      <c r="BQ54" s="63">
        <f>BT54-BN54</f>
        <v>3780</v>
      </c>
      <c r="BR54" s="15">
        <f t="shared" ref="BR54:BR55" si="355">(BQ54/BP54-1)*100</f>
        <v>61.125319693094625</v>
      </c>
      <c r="BS54" s="66">
        <v>9461</v>
      </c>
      <c r="BT54" s="66">
        <v>9465</v>
      </c>
      <c r="BU54" s="15">
        <f t="shared" ref="BU54:BU55" si="356">(BT54/BS54-1)*100</f>
        <v>4.2278828876440855E-2</v>
      </c>
      <c r="BV54" s="63">
        <f>BY54-BS54</f>
        <v>666</v>
      </c>
      <c r="BW54" s="63">
        <f>BZ54-BT54</f>
        <v>1503</v>
      </c>
      <c r="BX54" s="15">
        <f t="shared" ref="BX54:BX55" si="357">(BW54/BV54-1)*100</f>
        <v>125.67567567567566</v>
      </c>
      <c r="BY54" s="66">
        <v>10127</v>
      </c>
      <c r="BZ54" s="66">
        <v>10968</v>
      </c>
      <c r="CA54" s="15">
        <f t="shared" ref="CA54:CA55" si="358">(BZ54/BY54-1)*100</f>
        <v>8.3045324380369259</v>
      </c>
      <c r="CB54" s="108"/>
    </row>
    <row r="55" spans="1:80" s="1" customFormat="1" ht="19.5" customHeight="1">
      <c r="A55" s="179"/>
      <c r="B55" s="167"/>
      <c r="C55" s="82" t="s">
        <v>104</v>
      </c>
      <c r="D55" s="17">
        <v>1</v>
      </c>
      <c r="E55" s="17">
        <v>6445305</v>
      </c>
      <c r="F55" s="17">
        <v>12872401</v>
      </c>
      <c r="G55" s="17">
        <v>4322810</v>
      </c>
      <c r="H55" s="17">
        <f>4211198+145533</f>
        <v>4356731</v>
      </c>
      <c r="I55" s="17">
        <f>3325779+455642</f>
        <v>3781421</v>
      </c>
      <c r="J55" s="17">
        <f>1526733+444322</f>
        <v>1971055</v>
      </c>
      <c r="K55" s="17">
        <v>177370</v>
      </c>
      <c r="L55" s="17">
        <v>38107</v>
      </c>
      <c r="M55" s="18">
        <f t="shared" si="0"/>
        <v>-78.515532502678013</v>
      </c>
      <c r="N55" s="17">
        <f>Q55-K55</f>
        <v>141237</v>
      </c>
      <c r="O55" s="17">
        <f>R55-L55</f>
        <v>98315</v>
      </c>
      <c r="P55" s="18">
        <f t="shared" si="1"/>
        <v>-30.39005359785325</v>
      </c>
      <c r="Q55" s="17">
        <v>318607</v>
      </c>
      <c r="R55" s="17">
        <v>136422</v>
      </c>
      <c r="S55" s="18">
        <f t="shared" si="2"/>
        <v>-57.181731725919391</v>
      </c>
      <c r="T55" s="17">
        <f>W55-Q55</f>
        <v>119089</v>
      </c>
      <c r="U55" s="17">
        <f>X55-R55</f>
        <v>102434</v>
      </c>
      <c r="V55" s="18">
        <f t="shared" si="339"/>
        <v>-13.985338696269178</v>
      </c>
      <c r="W55" s="17">
        <v>437696</v>
      </c>
      <c r="X55" s="17">
        <v>238856</v>
      </c>
      <c r="Y55" s="18">
        <f t="shared" si="340"/>
        <v>-45.428790758882876</v>
      </c>
      <c r="Z55" s="17">
        <f>AC55-W55</f>
        <v>137592</v>
      </c>
      <c r="AA55" s="17">
        <f>AD55-X55</f>
        <v>391511</v>
      </c>
      <c r="AB55" s="18">
        <f t="shared" si="341"/>
        <v>184.5448863306006</v>
      </c>
      <c r="AC55" s="17">
        <f>361004+214284</f>
        <v>575288</v>
      </c>
      <c r="AD55" s="17">
        <v>630367</v>
      </c>
      <c r="AE55" s="18">
        <f t="shared" si="342"/>
        <v>9.5741611158237205</v>
      </c>
      <c r="AF55" s="17">
        <f>AI55-AC55</f>
        <v>163569</v>
      </c>
      <c r="AG55" s="17">
        <f>AJ55-AD55</f>
        <v>52751</v>
      </c>
      <c r="AH55" s="18">
        <f t="shared" si="343"/>
        <v>-67.750001528406983</v>
      </c>
      <c r="AI55" s="17">
        <f>524573+214284</f>
        <v>738857</v>
      </c>
      <c r="AJ55" s="17">
        <f>563040+120078</f>
        <v>683118</v>
      </c>
      <c r="AK55" s="18">
        <f t="shared" si="344"/>
        <v>-7.5439496411348834</v>
      </c>
      <c r="AL55" s="17">
        <f>AO55-AI55</f>
        <v>205566</v>
      </c>
      <c r="AM55" s="17">
        <f>AP55-AJ55</f>
        <v>73163</v>
      </c>
      <c r="AN55" s="18">
        <f t="shared" si="345"/>
        <v>-64.408997596878862</v>
      </c>
      <c r="AO55" s="17">
        <f>643894+300529</f>
        <v>944423</v>
      </c>
      <c r="AP55" s="17">
        <f>629921+126360</f>
        <v>756281</v>
      </c>
      <c r="AQ55" s="18">
        <f t="shared" si="346"/>
        <v>-19.921369979341886</v>
      </c>
      <c r="AR55" s="17">
        <f>AU55-AO55</f>
        <v>253422</v>
      </c>
      <c r="AS55" s="17">
        <f>AV55-AP55</f>
        <v>30097</v>
      </c>
      <c r="AT55" s="18">
        <f t="shared" si="347"/>
        <v>-88.123761946476634</v>
      </c>
      <c r="AU55" s="17">
        <f>801724+396121</f>
        <v>1197845</v>
      </c>
      <c r="AV55" s="17">
        <f>660018+126360</f>
        <v>786378</v>
      </c>
      <c r="AW55" s="18">
        <f t="shared" si="348"/>
        <v>-34.350604627476841</v>
      </c>
      <c r="AX55" s="17">
        <f>BA55-AU55</f>
        <v>77822</v>
      </c>
      <c r="AY55" s="17">
        <f>BB55-AV55</f>
        <v>53920</v>
      </c>
      <c r="AZ55" s="18">
        <f t="shared" si="349"/>
        <v>-30.713679936264814</v>
      </c>
      <c r="BA55" s="17">
        <f>879546+396121</f>
        <v>1275667</v>
      </c>
      <c r="BB55" s="17">
        <f>713938+126360</f>
        <v>840298</v>
      </c>
      <c r="BC55" s="18">
        <f t="shared" si="350"/>
        <v>-34.128734222959444</v>
      </c>
      <c r="BD55" s="17">
        <f>BG55-BA55</f>
        <v>170333</v>
      </c>
      <c r="BE55" s="17">
        <f>BH55-BB55</f>
        <v>40261</v>
      </c>
      <c r="BF55" s="18">
        <f t="shared" si="351"/>
        <v>-76.363358832404757</v>
      </c>
      <c r="BG55" s="17">
        <f>1047185+398815</f>
        <v>1446000</v>
      </c>
      <c r="BH55" s="17">
        <f>754199+126360</f>
        <v>880559</v>
      </c>
      <c r="BI55" s="18">
        <f t="shared" si="352"/>
        <v>-39.10380359612725</v>
      </c>
      <c r="BJ55" s="17">
        <f>BM55-BG55</f>
        <v>128404</v>
      </c>
      <c r="BK55" s="17">
        <f>BN55-BH55</f>
        <v>45338</v>
      </c>
      <c r="BL55" s="18">
        <f t="shared" si="353"/>
        <v>-64.691131117410677</v>
      </c>
      <c r="BM55" s="17">
        <f>1175589+398815</f>
        <v>1574404</v>
      </c>
      <c r="BN55" s="17">
        <v>925897</v>
      </c>
      <c r="BO55" s="18">
        <f t="shared" si="354"/>
        <v>-41.19063467826556</v>
      </c>
      <c r="BP55" s="17">
        <f>BS55-BM55</f>
        <v>264940</v>
      </c>
      <c r="BQ55" s="17">
        <f>BT55-BN55</f>
        <v>202417</v>
      </c>
      <c r="BR55" s="18">
        <f t="shared" si="355"/>
        <v>-23.598928059183212</v>
      </c>
      <c r="BS55" s="17">
        <f>1395022+444322</f>
        <v>1839344</v>
      </c>
      <c r="BT55" s="17">
        <v>1128314</v>
      </c>
      <c r="BU55" s="18">
        <f t="shared" si="356"/>
        <v>-38.656716742490801</v>
      </c>
      <c r="BV55" s="17">
        <f>BY55-BS55</f>
        <v>131711</v>
      </c>
      <c r="BW55" s="17">
        <f>BZ55-BT55</f>
        <v>90276</v>
      </c>
      <c r="BX55" s="18">
        <f t="shared" si="357"/>
        <v>-31.45902771978043</v>
      </c>
      <c r="BY55" s="17">
        <f>1526733+444322</f>
        <v>1971055</v>
      </c>
      <c r="BZ55" s="17">
        <v>1218590</v>
      </c>
      <c r="CA55" s="18">
        <f t="shared" si="358"/>
        <v>-38.175748520462392</v>
      </c>
      <c r="CB55" s="108"/>
    </row>
    <row r="56" spans="1:80" s="1" customFormat="1" ht="19.5" customHeight="1">
      <c r="A56" s="180"/>
      <c r="B56" s="168"/>
      <c r="C56" s="83" t="s">
        <v>105</v>
      </c>
      <c r="D56" s="64">
        <f t="shared" ref="D56:L56" si="359">D55/D54</f>
        <v>1</v>
      </c>
      <c r="E56" s="64">
        <f t="shared" si="359"/>
        <v>436.67378048780489</v>
      </c>
      <c r="F56" s="64">
        <f t="shared" si="359"/>
        <v>584.71047013399959</v>
      </c>
      <c r="G56" s="64">
        <f t="shared" si="359"/>
        <v>488.23243731646716</v>
      </c>
      <c r="H56" s="64">
        <f>H55/H54</f>
        <v>294.77205683355885</v>
      </c>
      <c r="I56" s="64">
        <f>I55/I54</f>
        <v>200.80829483298817</v>
      </c>
      <c r="J56" s="64">
        <f>J55/J54</f>
        <v>194.63365261182977</v>
      </c>
      <c r="K56" s="64">
        <f t="shared" si="359"/>
        <v>286.08064516129031</v>
      </c>
      <c r="L56" s="64">
        <f t="shared" si="359"/>
        <v>214.08426966292134</v>
      </c>
      <c r="M56" s="65"/>
      <c r="N56" s="64">
        <f>N55/N54</f>
        <v>280.78926441351888</v>
      </c>
      <c r="O56" s="64">
        <f>O55/O54</f>
        <v>190.16441005802707</v>
      </c>
      <c r="P56" s="65"/>
      <c r="Q56" s="64">
        <f>Q55/Q54</f>
        <v>283.7105966162066</v>
      </c>
      <c r="R56" s="64">
        <f>R55/R54</f>
        <v>196.29064748201438</v>
      </c>
      <c r="S56" s="65"/>
      <c r="T56" s="64">
        <f>T55/T54</f>
        <v>144.52548543689321</v>
      </c>
      <c r="U56" s="64">
        <f>U55/U54</f>
        <v>134.95915678524375</v>
      </c>
      <c r="V56" s="65"/>
      <c r="W56" s="64">
        <f>W55/W54</f>
        <v>224.80534155110425</v>
      </c>
      <c r="X56" s="64">
        <f>X55/X54</f>
        <v>164.2751031636864</v>
      </c>
      <c r="Y56" s="65"/>
      <c r="Z56" s="64">
        <f>Z55/Z54</f>
        <v>284.86956521739131</v>
      </c>
      <c r="AA56" s="64">
        <f>AA55/AA54</f>
        <v>165.89449152542372</v>
      </c>
      <c r="AB56" s="65"/>
      <c r="AC56" s="64">
        <f>AC55/AC54</f>
        <v>236.74403292181071</v>
      </c>
      <c r="AD56" s="64">
        <f>AD55/AD54</f>
        <v>165.27713686418457</v>
      </c>
      <c r="AE56" s="65"/>
      <c r="AF56" s="64">
        <f>AF55/AF54</f>
        <v>191.75732708089097</v>
      </c>
      <c r="AG56" s="64">
        <f>AG55/AG54</f>
        <v>168.5335463258786</v>
      </c>
      <c r="AH56" s="65"/>
      <c r="AI56" s="64">
        <f>AI55/AI54</f>
        <v>225.05543710021323</v>
      </c>
      <c r="AJ56" s="64">
        <f>AJ55/AJ54</f>
        <v>165.52410952265569</v>
      </c>
      <c r="AK56" s="65"/>
      <c r="AL56" s="64">
        <f>AL55/AL54</f>
        <v>256.95749999999998</v>
      </c>
      <c r="AM56" s="64">
        <f>AM55/AM54</f>
        <v>123.79526226734349</v>
      </c>
      <c r="AN56" s="65"/>
      <c r="AO56" s="64">
        <f>AO55/AO54</f>
        <v>231.30614744060739</v>
      </c>
      <c r="AP56" s="64">
        <f>AP55/AP54</f>
        <v>160.29694785926239</v>
      </c>
      <c r="AQ56" s="65"/>
      <c r="AR56" s="64">
        <f>AR55/AR54</f>
        <v>250.41699604743084</v>
      </c>
      <c r="AS56" s="64">
        <f>AS55/AS54</f>
        <v>181.30722891566265</v>
      </c>
      <c r="AT56" s="65"/>
      <c r="AU56" s="64">
        <f>AU55/AU54</f>
        <v>235.10206084396467</v>
      </c>
      <c r="AV56" s="64">
        <f>AV55/AV54</f>
        <v>161.01105651105652</v>
      </c>
      <c r="AW56" s="65"/>
      <c r="AX56" s="64">
        <f>AX55/AX54</f>
        <v>251.03870967741935</v>
      </c>
      <c r="AY56" s="64">
        <f>AY55/AY54</f>
        <v>177.36842105263159</v>
      </c>
      <c r="AZ56" s="65"/>
      <c r="BA56" s="64">
        <f>BA55/BA54</f>
        <v>236.01609620721555</v>
      </c>
      <c r="BB56" s="64">
        <f>BB55/BB54</f>
        <v>161.96954510408636</v>
      </c>
      <c r="BC56" s="65"/>
      <c r="BD56" s="64">
        <f>BD55/BD54</f>
        <v>176.51088082901555</v>
      </c>
      <c r="BE56" s="64">
        <f>BE55/BE54</f>
        <v>177.36123348017622</v>
      </c>
      <c r="BF56" s="65"/>
      <c r="BG56" s="64">
        <f>BG55/BG54</f>
        <v>227.00156985871271</v>
      </c>
      <c r="BH56" s="64">
        <f>BH55/BH54</f>
        <v>162.61477377654663</v>
      </c>
      <c r="BI56" s="65"/>
      <c r="BJ56" s="64">
        <f>BJ55/BJ54</f>
        <v>172.35436241610739</v>
      </c>
      <c r="BK56" s="64">
        <f>BK55/BK54</f>
        <v>167.91851851851851</v>
      </c>
      <c r="BL56" s="65"/>
      <c r="BM56" s="64">
        <f>BM55/BM54</f>
        <v>221.27955024595923</v>
      </c>
      <c r="BN56" s="64">
        <f>BN55/BN54</f>
        <v>162.86666666666667</v>
      </c>
      <c r="BO56" s="65"/>
      <c r="BP56" s="64">
        <f>BP55/BP54</f>
        <v>112.93265132139813</v>
      </c>
      <c r="BQ56" s="64">
        <f>BQ55/BQ54</f>
        <v>53.549470899470897</v>
      </c>
      <c r="BR56" s="65"/>
      <c r="BS56" s="64">
        <f>BS55/BS54</f>
        <v>194.41327555226721</v>
      </c>
      <c r="BT56" s="64">
        <f>BT55/BT54</f>
        <v>119.20908610670892</v>
      </c>
      <c r="BU56" s="65"/>
      <c r="BV56" s="64">
        <f>BV55/BV54</f>
        <v>197.76426426426426</v>
      </c>
      <c r="BW56" s="64">
        <f>BW55/BW54</f>
        <v>60.063872255489024</v>
      </c>
      <c r="BX56" s="65"/>
      <c r="BY56" s="64">
        <f>BY55/BY54</f>
        <v>194.63365261182977</v>
      </c>
      <c r="BZ56" s="64">
        <f>BZ55/BZ54</f>
        <v>111.10412107950401</v>
      </c>
      <c r="CA56" s="65"/>
      <c r="CB56" s="108"/>
    </row>
    <row r="57" spans="1:80" s="1" customFormat="1" ht="19.5" customHeight="1">
      <c r="A57" s="183" t="s">
        <v>152</v>
      </c>
      <c r="B57" s="133" t="s">
        <v>8</v>
      </c>
      <c r="C57" s="81" t="s">
        <v>42</v>
      </c>
      <c r="D57" s="66">
        <v>0</v>
      </c>
      <c r="E57" s="66">
        <v>11</v>
      </c>
      <c r="F57" s="66">
        <v>0</v>
      </c>
      <c r="G57" s="66">
        <v>0</v>
      </c>
      <c r="H57" s="66">
        <v>144</v>
      </c>
      <c r="I57" s="66">
        <v>275</v>
      </c>
      <c r="J57" s="66">
        <v>221</v>
      </c>
      <c r="K57" s="66">
        <v>20</v>
      </c>
      <c r="L57" s="66">
        <v>0</v>
      </c>
      <c r="M57" s="15">
        <f t="shared" si="0"/>
        <v>-100</v>
      </c>
      <c r="N57" s="63">
        <f>Q57-K57</f>
        <v>0</v>
      </c>
      <c r="O57" s="63">
        <f>R57-L57</f>
        <v>0</v>
      </c>
      <c r="P57" s="15" t="e">
        <f t="shared" si="1"/>
        <v>#DIV/0!</v>
      </c>
      <c r="Q57" s="66">
        <v>20</v>
      </c>
      <c r="R57" s="66">
        <v>0</v>
      </c>
      <c r="S57" s="15">
        <f t="shared" si="2"/>
        <v>-100</v>
      </c>
      <c r="T57" s="63">
        <f>W57-Q57</f>
        <v>70</v>
      </c>
      <c r="U57" s="63">
        <f>X57-R57</f>
        <v>1</v>
      </c>
      <c r="V57" s="15">
        <f t="shared" ref="V57:V58" si="360">(U57/T57-1)*100</f>
        <v>-98.571428571428584</v>
      </c>
      <c r="W57" s="66">
        <v>90</v>
      </c>
      <c r="X57" s="66">
        <v>1</v>
      </c>
      <c r="Y57" s="15">
        <f t="shared" ref="Y57:Y58" si="361">(X57/W57-1)*100</f>
        <v>-98.888888888888886</v>
      </c>
      <c r="Z57" s="63">
        <f>AC57-W57</f>
        <v>0</v>
      </c>
      <c r="AA57" s="63">
        <f>AD57-X57</f>
        <v>5</v>
      </c>
      <c r="AB57" s="15" t="e">
        <f t="shared" ref="AB57:AB58" si="362">(AA57/Z57-1)*100</f>
        <v>#DIV/0!</v>
      </c>
      <c r="AC57" s="66">
        <v>90</v>
      </c>
      <c r="AD57" s="66">
        <v>6</v>
      </c>
      <c r="AE57" s="15">
        <f t="shared" ref="AE57:AE58" si="363">(AD57/AC57-1)*100</f>
        <v>-93.333333333333329</v>
      </c>
      <c r="AF57" s="63">
        <f>AI57-AC57</f>
        <v>0</v>
      </c>
      <c r="AG57" s="63">
        <f>AJ57-AD57</f>
        <v>5</v>
      </c>
      <c r="AH57" s="15" t="e">
        <f t="shared" ref="AH57:AH58" si="364">(AG57/AF57-1)*100</f>
        <v>#DIV/0!</v>
      </c>
      <c r="AI57" s="66">
        <v>90</v>
      </c>
      <c r="AJ57" s="66">
        <v>11</v>
      </c>
      <c r="AK57" s="15">
        <f t="shared" ref="AK57:AK58" si="365">(AJ57/AI57-1)*100</f>
        <v>-87.777777777777771</v>
      </c>
      <c r="AL57" s="63">
        <f>AO57-AI57</f>
        <v>100</v>
      </c>
      <c r="AM57" s="63">
        <f>AP57-AJ57</f>
        <v>85</v>
      </c>
      <c r="AN57" s="15">
        <f t="shared" ref="AN57:AN58" si="366">(AM57/AL57-1)*100</f>
        <v>-15.000000000000002</v>
      </c>
      <c r="AO57" s="66">
        <v>190</v>
      </c>
      <c r="AP57" s="66">
        <v>96</v>
      </c>
      <c r="AQ57" s="15">
        <f t="shared" ref="AQ57:AQ58" si="367">(AP57/AO57-1)*100</f>
        <v>-49.473684210526315</v>
      </c>
      <c r="AR57" s="63">
        <f>AU57-AO57</f>
        <v>0</v>
      </c>
      <c r="AS57" s="63">
        <f>AV57-AP57</f>
        <v>0</v>
      </c>
      <c r="AT57" s="15" t="e">
        <f t="shared" ref="AT57:AT58" si="368">(AS57/AR57-1)*100</f>
        <v>#DIV/0!</v>
      </c>
      <c r="AU57" s="66">
        <v>190</v>
      </c>
      <c r="AV57" s="66">
        <v>96</v>
      </c>
      <c r="AW57" s="15">
        <f t="shared" ref="AW57:AW58" si="369">(AV57/AU57-1)*100</f>
        <v>-49.473684210526315</v>
      </c>
      <c r="AX57" s="63">
        <f>BA57-AU57</f>
        <v>31</v>
      </c>
      <c r="AY57" s="63">
        <f>BB57-AV57</f>
        <v>5</v>
      </c>
      <c r="AZ57" s="15">
        <f t="shared" ref="AZ57:AZ58" si="370">(AY57/AX57-1)*100</f>
        <v>-83.870967741935488</v>
      </c>
      <c r="BA57" s="66">
        <v>221</v>
      </c>
      <c r="BB57" s="66">
        <v>101</v>
      </c>
      <c r="BC57" s="15">
        <f t="shared" ref="BC57:BC58" si="371">(BB57/BA57-1)*100</f>
        <v>-54.298642533936658</v>
      </c>
      <c r="BD57" s="63">
        <f>BG57-BA57</f>
        <v>0</v>
      </c>
      <c r="BE57" s="63">
        <f>BH57-BB57</f>
        <v>0</v>
      </c>
      <c r="BF57" s="15" t="e">
        <f t="shared" ref="BF57:BF58" si="372">(BE57/BD57-1)*100</f>
        <v>#DIV/0!</v>
      </c>
      <c r="BG57" s="66">
        <v>221</v>
      </c>
      <c r="BH57" s="66">
        <v>101</v>
      </c>
      <c r="BI57" s="15">
        <f t="shared" ref="BI57:BI58" si="373">(BH57/BG57-1)*100</f>
        <v>-54.298642533936658</v>
      </c>
      <c r="BJ57" s="63">
        <f>BM57-BG57</f>
        <v>0</v>
      </c>
      <c r="BK57" s="63">
        <f>BN57-BH57</f>
        <v>0</v>
      </c>
      <c r="BL57" s="15" t="e">
        <f t="shared" ref="BL57:BL58" si="374">(BK57/BJ57-1)*100</f>
        <v>#DIV/0!</v>
      </c>
      <c r="BM57" s="66">
        <v>221</v>
      </c>
      <c r="BN57" s="66">
        <v>101</v>
      </c>
      <c r="BO57" s="15">
        <f t="shared" ref="BO57:BO58" si="375">(BN57/BM57-1)*100</f>
        <v>-54.298642533936658</v>
      </c>
      <c r="BP57" s="63">
        <f>BS57-BM57</f>
        <v>0</v>
      </c>
      <c r="BQ57" s="63">
        <f>BT57-BN57</f>
        <v>0</v>
      </c>
      <c r="BR57" s="15" t="e">
        <f t="shared" ref="BR57:BR58" si="376">(BQ57/BP57-1)*100</f>
        <v>#DIV/0!</v>
      </c>
      <c r="BS57" s="66">
        <v>221</v>
      </c>
      <c r="BT57" s="66">
        <v>101</v>
      </c>
      <c r="BU57" s="15">
        <f t="shared" ref="BU57:BU58" si="377">(BT57/BS57-1)*100</f>
        <v>-54.298642533936658</v>
      </c>
      <c r="BV57" s="63">
        <f>BY57-BS57</f>
        <v>0</v>
      </c>
      <c r="BW57" s="63">
        <f>BZ57-BT57</f>
        <v>0</v>
      </c>
      <c r="BX57" s="15" t="e">
        <f t="shared" ref="BX57:BX58" si="378">(BW57/BV57-1)*100</f>
        <v>#DIV/0!</v>
      </c>
      <c r="BY57" s="66">
        <v>221</v>
      </c>
      <c r="BZ57" s="66">
        <v>101</v>
      </c>
      <c r="CA57" s="15">
        <f t="shared" ref="CA57:CA58" si="379">(BZ57/BY57-1)*100</f>
        <v>-54.298642533936658</v>
      </c>
      <c r="CB57" s="108"/>
    </row>
    <row r="58" spans="1:80" s="1" customFormat="1" ht="19.5" customHeight="1">
      <c r="A58" s="179"/>
      <c r="B58" s="167"/>
      <c r="C58" s="82" t="s">
        <v>104</v>
      </c>
      <c r="D58" s="17">
        <v>0</v>
      </c>
      <c r="E58" s="17">
        <v>4116</v>
      </c>
      <c r="F58" s="17">
        <v>0</v>
      </c>
      <c r="G58" s="17">
        <v>0</v>
      </c>
      <c r="H58" s="17">
        <v>28633</v>
      </c>
      <c r="I58" s="17">
        <v>28297</v>
      </c>
      <c r="J58" s="17">
        <v>37729</v>
      </c>
      <c r="K58" s="17">
        <v>8000</v>
      </c>
      <c r="L58" s="17">
        <v>0</v>
      </c>
      <c r="M58" s="18">
        <f t="shared" si="0"/>
        <v>-100</v>
      </c>
      <c r="N58" s="17">
        <f>Q58-K58</f>
        <v>0</v>
      </c>
      <c r="O58" s="17">
        <f>R58-L58</f>
        <v>0</v>
      </c>
      <c r="P58" s="18" t="e">
        <f t="shared" si="1"/>
        <v>#DIV/0!</v>
      </c>
      <c r="Q58" s="17">
        <v>8000</v>
      </c>
      <c r="R58" s="17">
        <v>0</v>
      </c>
      <c r="S58" s="18">
        <f t="shared" si="2"/>
        <v>-100</v>
      </c>
      <c r="T58" s="17">
        <f>W58-Q58</f>
        <v>5600</v>
      </c>
      <c r="U58" s="17">
        <f>X58-R58</f>
        <v>320</v>
      </c>
      <c r="V58" s="18">
        <f t="shared" si="360"/>
        <v>-94.285714285714278</v>
      </c>
      <c r="W58" s="17">
        <v>13600</v>
      </c>
      <c r="X58" s="17">
        <v>320</v>
      </c>
      <c r="Y58" s="18">
        <f t="shared" si="361"/>
        <v>-97.647058823529406</v>
      </c>
      <c r="Z58" s="17">
        <f>AC58-W58</f>
        <v>0</v>
      </c>
      <c r="AA58" s="17">
        <f>AD58-X58</f>
        <v>2000</v>
      </c>
      <c r="AB58" s="18" t="e">
        <f t="shared" si="362"/>
        <v>#DIV/0!</v>
      </c>
      <c r="AC58" s="17">
        <v>13600</v>
      </c>
      <c r="AD58" s="17">
        <v>2320</v>
      </c>
      <c r="AE58" s="18">
        <f t="shared" si="363"/>
        <v>-82.941176470588232</v>
      </c>
      <c r="AF58" s="17">
        <f>AI58-AC58</f>
        <v>0</v>
      </c>
      <c r="AG58" s="17">
        <f>AJ58-AD58</f>
        <v>400</v>
      </c>
      <c r="AH58" s="18" t="e">
        <f t="shared" si="364"/>
        <v>#DIV/0!</v>
      </c>
      <c r="AI58" s="17">
        <v>13600</v>
      </c>
      <c r="AJ58" s="17">
        <v>2720</v>
      </c>
      <c r="AK58" s="18">
        <f t="shared" si="365"/>
        <v>-80</v>
      </c>
      <c r="AL58" s="17">
        <f>AO58-AI58</f>
        <v>11200</v>
      </c>
      <c r="AM58" s="17">
        <f>AP58-AJ58</f>
        <v>6800</v>
      </c>
      <c r="AN58" s="18">
        <f t="shared" si="366"/>
        <v>-39.285714285714292</v>
      </c>
      <c r="AO58" s="17">
        <v>24800</v>
      </c>
      <c r="AP58" s="17">
        <v>9520</v>
      </c>
      <c r="AQ58" s="18">
        <f t="shared" si="367"/>
        <v>-61.612903225806463</v>
      </c>
      <c r="AR58" s="17">
        <f>AU58-AO58</f>
        <v>0</v>
      </c>
      <c r="AS58" s="17">
        <f>AV58-AP58</f>
        <v>0</v>
      </c>
      <c r="AT58" s="18" t="e">
        <f t="shared" si="368"/>
        <v>#DIV/0!</v>
      </c>
      <c r="AU58" s="17">
        <v>24800</v>
      </c>
      <c r="AV58" s="17">
        <v>9520</v>
      </c>
      <c r="AW58" s="18">
        <f t="shared" si="369"/>
        <v>-61.612903225806463</v>
      </c>
      <c r="AX58" s="17">
        <f>BA58-AU58</f>
        <v>12929</v>
      </c>
      <c r="AY58" s="17">
        <f>BB58-AV58</f>
        <v>3500</v>
      </c>
      <c r="AZ58" s="18">
        <f t="shared" si="370"/>
        <v>-72.929074174336762</v>
      </c>
      <c r="BA58" s="17">
        <v>37729</v>
      </c>
      <c r="BB58" s="17">
        <v>13020</v>
      </c>
      <c r="BC58" s="18">
        <f t="shared" si="371"/>
        <v>-65.490736568687225</v>
      </c>
      <c r="BD58" s="17">
        <f>BG58-BA58</f>
        <v>0</v>
      </c>
      <c r="BE58" s="17">
        <f>BH58-BB58</f>
        <v>0</v>
      </c>
      <c r="BF58" s="18" t="e">
        <f t="shared" si="372"/>
        <v>#DIV/0!</v>
      </c>
      <c r="BG58" s="17">
        <v>37729</v>
      </c>
      <c r="BH58" s="17">
        <v>13020</v>
      </c>
      <c r="BI58" s="18">
        <f t="shared" si="373"/>
        <v>-65.490736568687225</v>
      </c>
      <c r="BJ58" s="17">
        <f>BM58-BG58</f>
        <v>0</v>
      </c>
      <c r="BK58" s="17">
        <f>BN58-BH58</f>
        <v>0</v>
      </c>
      <c r="BL58" s="18" t="e">
        <f t="shared" si="374"/>
        <v>#DIV/0!</v>
      </c>
      <c r="BM58" s="17">
        <v>37729</v>
      </c>
      <c r="BN58" s="17">
        <v>13020</v>
      </c>
      <c r="BO58" s="18">
        <f t="shared" si="375"/>
        <v>-65.490736568687225</v>
      </c>
      <c r="BP58" s="17">
        <f>BS58-BM58</f>
        <v>0</v>
      </c>
      <c r="BQ58" s="17">
        <f>BT58-BN58</f>
        <v>0</v>
      </c>
      <c r="BR58" s="18" t="e">
        <f t="shared" si="376"/>
        <v>#DIV/0!</v>
      </c>
      <c r="BS58" s="17">
        <v>37729</v>
      </c>
      <c r="BT58" s="17">
        <v>13020</v>
      </c>
      <c r="BU58" s="18">
        <f t="shared" si="377"/>
        <v>-65.490736568687225</v>
      </c>
      <c r="BV58" s="17">
        <f>BY58-BS58</f>
        <v>0</v>
      </c>
      <c r="BW58" s="17">
        <f>BZ58-BT58</f>
        <v>0</v>
      </c>
      <c r="BX58" s="18" t="e">
        <f t="shared" si="378"/>
        <v>#DIV/0!</v>
      </c>
      <c r="BY58" s="17">
        <v>37729</v>
      </c>
      <c r="BZ58" s="17">
        <v>13020</v>
      </c>
      <c r="CA58" s="18">
        <f t="shared" si="379"/>
        <v>-65.490736568687225</v>
      </c>
      <c r="CB58" s="108"/>
    </row>
    <row r="59" spans="1:80" s="1" customFormat="1" ht="19.5" customHeight="1">
      <c r="A59" s="180"/>
      <c r="B59" s="168"/>
      <c r="C59" s="83" t="s">
        <v>105</v>
      </c>
      <c r="D59" s="64" t="e">
        <f t="shared" ref="D59:L59" si="380">D58/D57</f>
        <v>#DIV/0!</v>
      </c>
      <c r="E59" s="64">
        <f t="shared" si="380"/>
        <v>374.18181818181819</v>
      </c>
      <c r="F59" s="64" t="e">
        <f t="shared" si="380"/>
        <v>#DIV/0!</v>
      </c>
      <c r="G59" s="64" t="e">
        <f t="shared" si="380"/>
        <v>#DIV/0!</v>
      </c>
      <c r="H59" s="64">
        <f>H58/H57</f>
        <v>198.84027777777777</v>
      </c>
      <c r="I59" s="64">
        <f>I58/I57</f>
        <v>102.89818181818181</v>
      </c>
      <c r="J59" s="64">
        <f>J58/J57</f>
        <v>170.71945701357467</v>
      </c>
      <c r="K59" s="64">
        <f t="shared" si="380"/>
        <v>400</v>
      </c>
      <c r="L59" s="64" t="e">
        <f t="shared" si="380"/>
        <v>#DIV/0!</v>
      </c>
      <c r="M59" s="65"/>
      <c r="N59" s="64" t="e">
        <f>N58/N57</f>
        <v>#DIV/0!</v>
      </c>
      <c r="O59" s="64" t="e">
        <f>O58/O57</f>
        <v>#DIV/0!</v>
      </c>
      <c r="P59" s="65"/>
      <c r="Q59" s="64">
        <f>Q58/Q57</f>
        <v>400</v>
      </c>
      <c r="R59" s="64" t="e">
        <f>R58/R57</f>
        <v>#DIV/0!</v>
      </c>
      <c r="S59" s="65"/>
      <c r="T59" s="64">
        <f>T58/T57</f>
        <v>80</v>
      </c>
      <c r="U59" s="64">
        <f>U58/U57</f>
        <v>320</v>
      </c>
      <c r="V59" s="65"/>
      <c r="W59" s="64">
        <f>W58/W57</f>
        <v>151.11111111111111</v>
      </c>
      <c r="X59" s="64">
        <f>X58/X57</f>
        <v>320</v>
      </c>
      <c r="Y59" s="65"/>
      <c r="Z59" s="64" t="e">
        <f>Z58/Z57</f>
        <v>#DIV/0!</v>
      </c>
      <c r="AA59" s="64">
        <f>AA58/AA57</f>
        <v>400</v>
      </c>
      <c r="AB59" s="65"/>
      <c r="AC59" s="64">
        <f>AC58/AC57</f>
        <v>151.11111111111111</v>
      </c>
      <c r="AD59" s="64">
        <f>AD58/AD57</f>
        <v>386.66666666666669</v>
      </c>
      <c r="AE59" s="65"/>
      <c r="AF59" s="64" t="e">
        <f>AF58/AF57</f>
        <v>#DIV/0!</v>
      </c>
      <c r="AG59" s="64">
        <f>AG58/AG57</f>
        <v>80</v>
      </c>
      <c r="AH59" s="65"/>
      <c r="AI59" s="64">
        <f>AI58/AI57</f>
        <v>151.11111111111111</v>
      </c>
      <c r="AJ59" s="64">
        <f>AJ58/AJ57</f>
        <v>247.27272727272728</v>
      </c>
      <c r="AK59" s="65"/>
      <c r="AL59" s="64">
        <f>AL58/AL57</f>
        <v>112</v>
      </c>
      <c r="AM59" s="64">
        <f>AM58/AM57</f>
        <v>80</v>
      </c>
      <c r="AN59" s="65"/>
      <c r="AO59" s="64">
        <f>AO58/AO57</f>
        <v>130.52631578947367</v>
      </c>
      <c r="AP59" s="64">
        <f>AP58/AP57</f>
        <v>99.166666666666671</v>
      </c>
      <c r="AQ59" s="65"/>
      <c r="AR59" s="64" t="e">
        <f>AR58/AR57</f>
        <v>#DIV/0!</v>
      </c>
      <c r="AS59" s="64" t="e">
        <f>AS58/AS57</f>
        <v>#DIV/0!</v>
      </c>
      <c r="AT59" s="65"/>
      <c r="AU59" s="64">
        <f>AU58/AU57</f>
        <v>130.52631578947367</v>
      </c>
      <c r="AV59" s="64">
        <f>AV58/AV57</f>
        <v>99.166666666666671</v>
      </c>
      <c r="AW59" s="65"/>
      <c r="AX59" s="64">
        <f>AX58/AX57</f>
        <v>417.06451612903226</v>
      </c>
      <c r="AY59" s="64">
        <f>AY58/AY57</f>
        <v>700</v>
      </c>
      <c r="AZ59" s="65"/>
      <c r="BA59" s="64">
        <f>BA58/BA57</f>
        <v>170.71945701357467</v>
      </c>
      <c r="BB59" s="64">
        <f>BB58/BB57</f>
        <v>128.9108910891089</v>
      </c>
      <c r="BC59" s="65"/>
      <c r="BD59" s="64" t="e">
        <f>BD58/BD57</f>
        <v>#DIV/0!</v>
      </c>
      <c r="BE59" s="64" t="e">
        <f>BE58/BE57</f>
        <v>#DIV/0!</v>
      </c>
      <c r="BF59" s="65"/>
      <c r="BG59" s="64">
        <f>BG58/BG57</f>
        <v>170.71945701357467</v>
      </c>
      <c r="BH59" s="64">
        <f>BH58/BH57</f>
        <v>128.9108910891089</v>
      </c>
      <c r="BI59" s="65"/>
      <c r="BJ59" s="64" t="e">
        <f>BJ58/BJ57</f>
        <v>#DIV/0!</v>
      </c>
      <c r="BK59" s="64" t="e">
        <f>BK58/BK57</f>
        <v>#DIV/0!</v>
      </c>
      <c r="BL59" s="65"/>
      <c r="BM59" s="64">
        <f>BM58/BM57</f>
        <v>170.71945701357467</v>
      </c>
      <c r="BN59" s="64">
        <f>BN58/BN57</f>
        <v>128.9108910891089</v>
      </c>
      <c r="BO59" s="65"/>
      <c r="BP59" s="64" t="e">
        <f>BP58/BP57</f>
        <v>#DIV/0!</v>
      </c>
      <c r="BQ59" s="64" t="e">
        <f>BQ58/BQ57</f>
        <v>#DIV/0!</v>
      </c>
      <c r="BR59" s="65"/>
      <c r="BS59" s="64">
        <f>BS58/BS57</f>
        <v>170.71945701357467</v>
      </c>
      <c r="BT59" s="64">
        <f>BT58/BT57</f>
        <v>128.9108910891089</v>
      </c>
      <c r="BU59" s="65"/>
      <c r="BV59" s="64" t="e">
        <f>BV58/BV57</f>
        <v>#DIV/0!</v>
      </c>
      <c r="BW59" s="64" t="e">
        <f>BW58/BW57</f>
        <v>#DIV/0!</v>
      </c>
      <c r="BX59" s="65"/>
      <c r="BY59" s="64">
        <f>BY58/BY57</f>
        <v>170.71945701357467</v>
      </c>
      <c r="BZ59" s="64">
        <f>BZ58/BZ57</f>
        <v>128.9108910891089</v>
      </c>
      <c r="CA59" s="65"/>
      <c r="CB59" s="108"/>
    </row>
    <row r="60" spans="1:80" s="1" customFormat="1" ht="19.5" customHeight="1">
      <c r="A60" s="178" t="s">
        <v>153</v>
      </c>
      <c r="B60" s="133" t="s">
        <v>132</v>
      </c>
      <c r="C60" s="81" t="s">
        <v>42</v>
      </c>
      <c r="D60" s="66">
        <v>7905.4</v>
      </c>
      <c r="E60" s="66">
        <v>139322.5</v>
      </c>
      <c r="F60" s="66">
        <v>247324</v>
      </c>
      <c r="G60" s="66">
        <v>193630</v>
      </c>
      <c r="H60" s="66">
        <f>147748+14161</f>
        <v>161909</v>
      </c>
      <c r="I60" s="66">
        <v>180129</v>
      </c>
      <c r="J60" s="66">
        <v>128288</v>
      </c>
      <c r="K60" s="66">
        <v>8815</v>
      </c>
      <c r="L60" s="66">
        <v>17106</v>
      </c>
      <c r="M60" s="15">
        <f t="shared" si="0"/>
        <v>94.055587067498593</v>
      </c>
      <c r="N60" s="63">
        <f>Q60-K60</f>
        <v>11478</v>
      </c>
      <c r="O60" s="63">
        <f>R60-L60</f>
        <v>10010</v>
      </c>
      <c r="P60" s="15">
        <f t="shared" si="1"/>
        <v>-12.789684614044262</v>
      </c>
      <c r="Q60" s="66">
        <v>20293</v>
      </c>
      <c r="R60" s="66">
        <v>27116</v>
      </c>
      <c r="S60" s="15">
        <f t="shared" si="2"/>
        <v>33.622431380278918</v>
      </c>
      <c r="T60" s="63">
        <f>W60-Q60</f>
        <v>10524</v>
      </c>
      <c r="U60" s="63">
        <f>X60-R60</f>
        <v>11135</v>
      </c>
      <c r="V60" s="15">
        <f t="shared" ref="V60:V61" si="381">(U60/T60-1)*100</f>
        <v>5.8057772709996236</v>
      </c>
      <c r="W60" s="66">
        <v>30817</v>
      </c>
      <c r="X60" s="66">
        <f>38017+234</f>
        <v>38251</v>
      </c>
      <c r="Y60" s="15">
        <f t="shared" ref="Y60:Y61" si="382">(X60/W60-1)*100</f>
        <v>24.123048966479544</v>
      </c>
      <c r="Z60" s="63">
        <f>AC60-W60</f>
        <v>9939</v>
      </c>
      <c r="AA60" s="63">
        <f>AD60-X60</f>
        <v>9201</v>
      </c>
      <c r="AB60" s="15">
        <f t="shared" ref="AB60:AB61" si="383">(AA60/Z60-1)*100</f>
        <v>-7.4252942952007235</v>
      </c>
      <c r="AC60" s="66">
        <v>40756</v>
      </c>
      <c r="AD60" s="66">
        <f>47146+306</f>
        <v>47452</v>
      </c>
      <c r="AE60" s="15">
        <f t="shared" ref="AE60:AE61" si="384">(AD60/AC60-1)*100</f>
        <v>16.429482775542258</v>
      </c>
      <c r="AF60" s="63">
        <f>AI60-AC60</f>
        <v>10065</v>
      </c>
      <c r="AG60" s="63">
        <f>AJ60-AD60</f>
        <v>11911</v>
      </c>
      <c r="AH60" s="15">
        <f t="shared" ref="AH60:AH61" si="385">(AG60/AF60-1)*100</f>
        <v>18.340784898161957</v>
      </c>
      <c r="AI60" s="66">
        <f>50007+814</f>
        <v>50821</v>
      </c>
      <c r="AJ60" s="66">
        <v>59363</v>
      </c>
      <c r="AK60" s="15">
        <f t="shared" ref="AK60:AK61" si="386">(AJ60/AI60-1)*100</f>
        <v>16.808012435804098</v>
      </c>
      <c r="AL60" s="63">
        <f>AO60-AI60</f>
        <v>10423</v>
      </c>
      <c r="AM60" s="63">
        <f>AP60-AJ60</f>
        <v>9603</v>
      </c>
      <c r="AN60" s="15">
        <f t="shared" ref="AN60:AN61" si="387">(AM60/AL60-1)*100</f>
        <v>-7.8672167322268116</v>
      </c>
      <c r="AO60" s="66">
        <f>59782+1462</f>
        <v>61244</v>
      </c>
      <c r="AP60" s="66">
        <f>68429+537</f>
        <v>68966</v>
      </c>
      <c r="AQ60" s="15">
        <f t="shared" ref="AQ60:AQ61" si="388">(AP60/AO60-1)*100</f>
        <v>12.608582065181896</v>
      </c>
      <c r="AR60" s="63">
        <f>AU60-AO60</f>
        <v>12387</v>
      </c>
      <c r="AS60" s="63">
        <f>AV60-AP60</f>
        <v>9959</v>
      </c>
      <c r="AT60" s="15">
        <f t="shared" ref="AT60:AT61" si="389">(AS60/AR60-1)*100</f>
        <v>-19.601194801001053</v>
      </c>
      <c r="AU60" s="66">
        <f>72169+1462</f>
        <v>73631</v>
      </c>
      <c r="AV60" s="66">
        <v>78925</v>
      </c>
      <c r="AW60" s="15">
        <f t="shared" ref="AW60:AW61" si="390">(AV60/AU60-1)*100</f>
        <v>7.1899064252828326</v>
      </c>
      <c r="AX60" s="63">
        <f>BA60-AU60</f>
        <v>15596</v>
      </c>
      <c r="AY60" s="63">
        <f>BB60-AV60</f>
        <v>12800</v>
      </c>
      <c r="AZ60" s="15">
        <f t="shared" ref="AZ60:AZ61" si="391">(AY60/AX60-1)*100</f>
        <v>-17.927673762503204</v>
      </c>
      <c r="BA60" s="66">
        <f>89227</f>
        <v>89227</v>
      </c>
      <c r="BB60" s="66">
        <v>91725</v>
      </c>
      <c r="BC60" s="15">
        <f t="shared" ref="BC60:BC61" si="392">(BB60/BA60-1)*100</f>
        <v>2.7996010176291941</v>
      </c>
      <c r="BD60" s="63">
        <f>BG60-BA60</f>
        <v>15070</v>
      </c>
      <c r="BE60" s="63">
        <f>BH60-BB60</f>
        <v>8864</v>
      </c>
      <c r="BF60" s="15">
        <f t="shared" ref="BF60:BF61" si="393">(BE60/BD60-1)*100</f>
        <v>-41.181154611811543</v>
      </c>
      <c r="BG60" s="66">
        <v>104297</v>
      </c>
      <c r="BH60" s="66">
        <v>100589</v>
      </c>
      <c r="BI60" s="15">
        <f t="shared" ref="BI60:BI61" si="394">(BH60/BG60-1)*100</f>
        <v>-3.5552316941043327</v>
      </c>
      <c r="BJ60" s="63">
        <f>BM60-BG60</f>
        <v>7476</v>
      </c>
      <c r="BK60" s="63">
        <f>BN60-BH60</f>
        <v>10315</v>
      </c>
      <c r="BL60" s="15">
        <f t="shared" ref="BL60:BL61" si="395">(BK60/BJ60-1)*100</f>
        <v>37.974852862493314</v>
      </c>
      <c r="BM60" s="66">
        <v>111773</v>
      </c>
      <c r="BN60" s="66">
        <v>110904</v>
      </c>
      <c r="BO60" s="15">
        <f t="shared" ref="BO60:BO61" si="396">(BN60/BM60-1)*100</f>
        <v>-0.77746861943402967</v>
      </c>
      <c r="BP60" s="63">
        <f>BS60-BM60</f>
        <v>7986</v>
      </c>
      <c r="BQ60" s="63">
        <f>BT60-BN60</f>
        <v>8736</v>
      </c>
      <c r="BR60" s="15">
        <f t="shared" ref="BR60:BR61" si="397">(BQ60/BP60-1)*100</f>
        <v>9.39143501126971</v>
      </c>
      <c r="BS60" s="66">
        <v>119759</v>
      </c>
      <c r="BT60" s="66">
        <v>119640</v>
      </c>
      <c r="BU60" s="15">
        <f t="shared" ref="BU60:BU61" si="398">(BT60/BS60-1)*100</f>
        <v>-9.9366227172903443E-2</v>
      </c>
      <c r="BV60" s="63">
        <f>BY60-BS60</f>
        <v>8529</v>
      </c>
      <c r="BW60" s="63">
        <f>BZ60-BT60</f>
        <v>26100</v>
      </c>
      <c r="BX60" s="15">
        <f t="shared" ref="BX60:BX61" si="399">(BW60/BV60-1)*100</f>
        <v>206.01477312697853</v>
      </c>
      <c r="BY60" s="66">
        <v>128288</v>
      </c>
      <c r="BZ60" s="66">
        <v>145740</v>
      </c>
      <c r="CA60" s="15">
        <f t="shared" ref="CA60:CA61" si="400">(BZ60/BY60-1)*100</f>
        <v>13.603766525318029</v>
      </c>
      <c r="CB60" s="108"/>
    </row>
    <row r="61" spans="1:80" s="1" customFormat="1" ht="19.5" customHeight="1">
      <c r="A61" s="179"/>
      <c r="B61" s="167"/>
      <c r="C61" s="82" t="s">
        <v>104</v>
      </c>
      <c r="D61" s="17">
        <v>3056871</v>
      </c>
      <c r="E61" s="17">
        <v>41678782</v>
      </c>
      <c r="F61" s="17">
        <v>153631902</v>
      </c>
      <c r="G61" s="17">
        <v>72597077</v>
      </c>
      <c r="H61" s="17">
        <f>78282042+954471</f>
        <v>79236513</v>
      </c>
      <c r="I61" s="17">
        <f>106025441+1300775</f>
        <v>107326216</v>
      </c>
      <c r="J61" s="17">
        <f>50157669+309511</f>
        <v>50467180</v>
      </c>
      <c r="K61" s="17">
        <f>5383596+414</f>
        <v>5384010</v>
      </c>
      <c r="L61" s="17">
        <v>3707718</v>
      </c>
      <c r="M61" s="18">
        <f t="shared" si="0"/>
        <v>-31.134637565680599</v>
      </c>
      <c r="N61" s="17">
        <f>Q61-K61</f>
        <v>6140765</v>
      </c>
      <c r="O61" s="17">
        <f>R61-L61</f>
        <v>2186976</v>
      </c>
      <c r="P61" s="18">
        <f t="shared" si="1"/>
        <v>-64.385935628541404</v>
      </c>
      <c r="Q61" s="17">
        <v>11524775</v>
      </c>
      <c r="R61" s="17">
        <f>5802178+92516</f>
        <v>5894694</v>
      </c>
      <c r="S61" s="18">
        <f t="shared" si="2"/>
        <v>-48.851981925894428</v>
      </c>
      <c r="T61" s="17">
        <f>W61-Q61</f>
        <v>5711976</v>
      </c>
      <c r="U61" s="17">
        <f>X61-R61</f>
        <v>2614079</v>
      </c>
      <c r="V61" s="18">
        <f t="shared" si="381"/>
        <v>-54.235119335235304</v>
      </c>
      <c r="W61" s="17">
        <v>17236751</v>
      </c>
      <c r="X61" s="17">
        <f>8399769+109004</f>
        <v>8508773</v>
      </c>
      <c r="Y61" s="18">
        <f t="shared" si="382"/>
        <v>-50.635865192924115</v>
      </c>
      <c r="Z61" s="17">
        <f>AC61-W61</f>
        <v>5061333</v>
      </c>
      <c r="AA61" s="17">
        <f>AD61-X61</f>
        <v>2105882</v>
      </c>
      <c r="AB61" s="18">
        <f t="shared" si="383"/>
        <v>-58.392739620175163</v>
      </c>
      <c r="AC61" s="17">
        <f>22127275+170809</f>
        <v>22298084</v>
      </c>
      <c r="AD61" s="17">
        <f>10475627+139028</f>
        <v>10614655</v>
      </c>
      <c r="AE61" s="18">
        <f t="shared" si="384"/>
        <v>-52.396560170820059</v>
      </c>
      <c r="AF61" s="17">
        <f>AI61-AC61</f>
        <v>5014161</v>
      </c>
      <c r="AG61" s="17">
        <f>AJ61-AD61</f>
        <v>2687687</v>
      </c>
      <c r="AH61" s="18">
        <f t="shared" si="385"/>
        <v>-46.398071382231244</v>
      </c>
      <c r="AI61" s="17">
        <f>27141436+170809</f>
        <v>27312245</v>
      </c>
      <c r="AJ61" s="17">
        <f>13113067+189275</f>
        <v>13302342</v>
      </c>
      <c r="AK61" s="18">
        <f t="shared" si="386"/>
        <v>-51.295318272079058</v>
      </c>
      <c r="AL61" s="17">
        <f>AO61-AI61</f>
        <v>4184497</v>
      </c>
      <c r="AM61" s="17">
        <f>AP61-AJ61</f>
        <v>2175634</v>
      </c>
      <c r="AN61" s="18">
        <f t="shared" si="387"/>
        <v>-48.007275426413251</v>
      </c>
      <c r="AO61" s="17">
        <f>31256660+240082</f>
        <v>31496742</v>
      </c>
      <c r="AP61" s="17">
        <f>15243483+234493</f>
        <v>15477976</v>
      </c>
      <c r="AQ61" s="18">
        <f t="shared" si="388"/>
        <v>-50.858485617337813</v>
      </c>
      <c r="AR61" s="17">
        <f>AU61-AO61</f>
        <v>4419611</v>
      </c>
      <c r="AS61" s="17">
        <f>AV61-AP61</f>
        <v>2405540</v>
      </c>
      <c r="AT61" s="18">
        <f t="shared" si="389"/>
        <v>-45.571227875032442</v>
      </c>
      <c r="AU61" s="17">
        <f>35676271+240082</f>
        <v>35916353</v>
      </c>
      <c r="AV61" s="17">
        <v>17883516</v>
      </c>
      <c r="AW61" s="18">
        <f t="shared" si="390"/>
        <v>-50.207873277111403</v>
      </c>
      <c r="AX61" s="17">
        <f>BA61-AU61</f>
        <v>5001960</v>
      </c>
      <c r="AY61" s="17">
        <f>BB61-AV61</f>
        <v>2952081</v>
      </c>
      <c r="AZ61" s="18">
        <f t="shared" si="391"/>
        <v>-40.981515246023562</v>
      </c>
      <c r="BA61" s="17">
        <f>40677927+240386</f>
        <v>40918313</v>
      </c>
      <c r="BB61" s="17">
        <f>20525544+310053</f>
        <v>20835597</v>
      </c>
      <c r="BC61" s="18">
        <f t="shared" si="392"/>
        <v>-49.080019501292739</v>
      </c>
      <c r="BD61" s="17">
        <f>BG61-BA61</f>
        <v>3924978</v>
      </c>
      <c r="BE61" s="17">
        <f>BH61-BB61</f>
        <v>1760028</v>
      </c>
      <c r="BF61" s="18">
        <f t="shared" si="393"/>
        <v>-55.158270950818064</v>
      </c>
      <c r="BG61" s="17">
        <f>44591845+251446</f>
        <v>44843291</v>
      </c>
      <c r="BH61" s="17">
        <f>22261373+334252</f>
        <v>22595625</v>
      </c>
      <c r="BI61" s="18">
        <f t="shared" si="394"/>
        <v>-49.612027805898549</v>
      </c>
      <c r="BJ61" s="17">
        <f>BM61-BG61</f>
        <v>1858303</v>
      </c>
      <c r="BK61" s="17">
        <f>BN61-BH61</f>
        <v>2030482</v>
      </c>
      <c r="BL61" s="18">
        <f t="shared" si="395"/>
        <v>9.2653889058996306</v>
      </c>
      <c r="BM61" s="17">
        <f>46450148+251446</f>
        <v>46701594</v>
      </c>
      <c r="BN61" s="17">
        <v>24626107</v>
      </c>
      <c r="BO61" s="18">
        <f t="shared" si="396"/>
        <v>-47.269236677446166</v>
      </c>
      <c r="BP61" s="17">
        <f>BS61-BM61</f>
        <v>1886775</v>
      </c>
      <c r="BQ61" s="17">
        <f>BT61-BN61</f>
        <v>1678349</v>
      </c>
      <c r="BR61" s="18">
        <f t="shared" si="397"/>
        <v>-11.046680181791679</v>
      </c>
      <c r="BS61" s="17">
        <f>48278858+309511</f>
        <v>48588369</v>
      </c>
      <c r="BT61" s="17">
        <v>26304456</v>
      </c>
      <c r="BU61" s="18">
        <f t="shared" si="398"/>
        <v>-45.862648733897615</v>
      </c>
      <c r="BV61" s="17">
        <f>BY61-BS61</f>
        <v>1878811</v>
      </c>
      <c r="BW61" s="17">
        <f>BZ61-BT61</f>
        <v>4538141</v>
      </c>
      <c r="BX61" s="18">
        <f t="shared" si="399"/>
        <v>141.54324197590924</v>
      </c>
      <c r="BY61" s="17">
        <f>50157669+309511</f>
        <v>50467180</v>
      </c>
      <c r="BZ61" s="17">
        <v>30842597</v>
      </c>
      <c r="CA61" s="18">
        <f t="shared" si="400"/>
        <v>-38.885832336976236</v>
      </c>
      <c r="CB61" s="108"/>
    </row>
    <row r="62" spans="1:80" s="1" customFormat="1" ht="19.5" customHeight="1">
      <c r="A62" s="180"/>
      <c r="B62" s="168"/>
      <c r="C62" s="83" t="s">
        <v>105</v>
      </c>
      <c r="D62" s="64">
        <f t="shared" ref="D62:L62" si="401">D61/D60</f>
        <v>386.68138234624433</v>
      </c>
      <c r="E62" s="64">
        <f t="shared" si="401"/>
        <v>299.1532738789499</v>
      </c>
      <c r="F62" s="64">
        <f t="shared" si="401"/>
        <v>621.17668321715644</v>
      </c>
      <c r="G62" s="64">
        <f t="shared" si="401"/>
        <v>374.92680369777412</v>
      </c>
      <c r="H62" s="64">
        <f>H61/H60</f>
        <v>489.38918157730575</v>
      </c>
      <c r="I62" s="64">
        <f>I61/I60</f>
        <v>595.82974423885105</v>
      </c>
      <c r="J62" s="64">
        <f>J61/J60</f>
        <v>393.38971688700423</v>
      </c>
      <c r="K62" s="64">
        <f t="shared" si="401"/>
        <v>610.77821894498015</v>
      </c>
      <c r="L62" s="64">
        <f t="shared" si="401"/>
        <v>216.7495615573483</v>
      </c>
      <c r="M62" s="65"/>
      <c r="N62" s="64">
        <f>N61/N60</f>
        <v>535.00304931172673</v>
      </c>
      <c r="O62" s="64">
        <f>O61/O60</f>
        <v>218.47912087912087</v>
      </c>
      <c r="P62" s="65"/>
      <c r="Q62" s="64">
        <f>Q61/Q60</f>
        <v>567.91874045237273</v>
      </c>
      <c r="R62" s="64">
        <f>R61/R60</f>
        <v>217.3880365835669</v>
      </c>
      <c r="S62" s="65"/>
      <c r="T62" s="64">
        <f>T61/T60</f>
        <v>542.75712656784492</v>
      </c>
      <c r="U62" s="64">
        <f>U61/U60</f>
        <v>234.7623709025595</v>
      </c>
      <c r="V62" s="65"/>
      <c r="W62" s="64">
        <f>W61/W60</f>
        <v>559.32605380147322</v>
      </c>
      <c r="X62" s="64">
        <f>X61/X60</f>
        <v>222.44576612376147</v>
      </c>
      <c r="Y62" s="65"/>
      <c r="Z62" s="64">
        <f>Z61/Z60</f>
        <v>509.2396619378207</v>
      </c>
      <c r="AA62" s="64">
        <f>AA61/AA60</f>
        <v>228.87533963699599</v>
      </c>
      <c r="AB62" s="65"/>
      <c r="AC62" s="64">
        <f>AC61/AC60</f>
        <v>547.11168907645504</v>
      </c>
      <c r="AD62" s="64">
        <f>AD61/AD60</f>
        <v>223.69246817836972</v>
      </c>
      <c r="AE62" s="65"/>
      <c r="AF62" s="64">
        <f>AF61/AF60</f>
        <v>498.17794336810732</v>
      </c>
      <c r="AG62" s="64">
        <f>AG61/AG60</f>
        <v>225.64746872638736</v>
      </c>
      <c r="AH62" s="65"/>
      <c r="AI62" s="64">
        <f>AI61/AI60</f>
        <v>537.42045611066294</v>
      </c>
      <c r="AJ62" s="64">
        <f>AJ61/AJ60</f>
        <v>224.08473291444164</v>
      </c>
      <c r="AK62" s="65"/>
      <c r="AL62" s="64">
        <f>AL61/AL60</f>
        <v>401.46761968723018</v>
      </c>
      <c r="AM62" s="64">
        <f>AM61/AM60</f>
        <v>226.55774237217537</v>
      </c>
      <c r="AN62" s="65"/>
      <c r="AO62" s="64">
        <f>AO61/AO60</f>
        <v>514.28290118215659</v>
      </c>
      <c r="AP62" s="64">
        <f>AP61/AP60</f>
        <v>224.42908099643302</v>
      </c>
      <c r="AQ62" s="65"/>
      <c r="AR62" s="64">
        <f>AR61/AR60</f>
        <v>356.79430047630581</v>
      </c>
      <c r="AS62" s="64">
        <f>AS61/AS60</f>
        <v>241.54433176021689</v>
      </c>
      <c r="AT62" s="65"/>
      <c r="AU62" s="64">
        <f>AU61/AU60</f>
        <v>487.78847224674388</v>
      </c>
      <c r="AV62" s="64">
        <f>AV61/AV60</f>
        <v>226.58873614190688</v>
      </c>
      <c r="AW62" s="65"/>
      <c r="AX62" s="64">
        <f>AX61/AX60</f>
        <v>320.72069761477303</v>
      </c>
      <c r="AY62" s="64">
        <f>AY61/AY60</f>
        <v>230.63132812500001</v>
      </c>
      <c r="AZ62" s="65"/>
      <c r="BA62" s="64">
        <f>BA61/BA60</f>
        <v>458.58667219563586</v>
      </c>
      <c r="BB62" s="64">
        <f>BB61/BB60</f>
        <v>227.15286999182339</v>
      </c>
      <c r="BC62" s="65"/>
      <c r="BD62" s="64">
        <f>BD61/BD60</f>
        <v>260.4497677504977</v>
      </c>
      <c r="BE62" s="64">
        <f>BE61/BE60</f>
        <v>198.55911552346569</v>
      </c>
      <c r="BF62" s="65"/>
      <c r="BG62" s="64">
        <f>BG61/BG60</f>
        <v>429.95763061257753</v>
      </c>
      <c r="BH62" s="64">
        <f>BH61/BH60</f>
        <v>224.63316068357375</v>
      </c>
      <c r="BI62" s="65"/>
      <c r="BJ62" s="64">
        <f>BJ61/BJ60</f>
        <v>248.56915462814339</v>
      </c>
      <c r="BK62" s="64">
        <f>BK61/BK60</f>
        <v>196.8475036354823</v>
      </c>
      <c r="BL62" s="65"/>
      <c r="BM62" s="64">
        <f>BM61/BM60</f>
        <v>417.825360328523</v>
      </c>
      <c r="BN62" s="64">
        <f>BN61/BN60</f>
        <v>222.04886207891511</v>
      </c>
      <c r="BO62" s="65"/>
      <c r="BP62" s="64">
        <f>BP61/BP60</f>
        <v>236.2603305785124</v>
      </c>
      <c r="BQ62" s="64">
        <f>BQ61/BQ60</f>
        <v>192.11870421245422</v>
      </c>
      <c r="BR62" s="65"/>
      <c r="BS62" s="64">
        <f>BS61/BS60</f>
        <v>405.71789176596332</v>
      </c>
      <c r="BT62" s="64">
        <f>BT61/BT60</f>
        <v>219.86339017051154</v>
      </c>
      <c r="BU62" s="65"/>
      <c r="BV62" s="64">
        <f>BV61/BV60</f>
        <v>220.28502755305428</v>
      </c>
      <c r="BW62" s="64">
        <f>BW61/BW60</f>
        <v>173.87513409961687</v>
      </c>
      <c r="BX62" s="65"/>
      <c r="BY62" s="64">
        <f>BY61/BY60</f>
        <v>393.38971688700423</v>
      </c>
      <c r="BZ62" s="64">
        <f>BZ61/BZ60</f>
        <v>211.62753533690133</v>
      </c>
      <c r="CA62" s="65"/>
      <c r="CB62" s="108"/>
    </row>
    <row r="63" spans="1:80" s="1" customFormat="1" ht="19.5" customHeight="1">
      <c r="A63" s="183" t="s">
        <v>154</v>
      </c>
      <c r="B63" s="133" t="s">
        <v>133</v>
      </c>
      <c r="C63" s="81" t="s">
        <v>42</v>
      </c>
      <c r="D63" s="66">
        <v>74.8</v>
      </c>
      <c r="E63" s="66">
        <v>149.19999999999999</v>
      </c>
      <c r="F63" s="66">
        <v>15323</v>
      </c>
      <c r="G63" s="66">
        <v>13676</v>
      </c>
      <c r="H63" s="66">
        <f>2873+2308</f>
        <v>5181</v>
      </c>
      <c r="I63" s="66">
        <v>362</v>
      </c>
      <c r="J63" s="66">
        <v>1396</v>
      </c>
      <c r="K63" s="66">
        <v>15</v>
      </c>
      <c r="L63" s="66">
        <v>64</v>
      </c>
      <c r="M63" s="15">
        <f t="shared" si="0"/>
        <v>326.66666666666669</v>
      </c>
      <c r="N63" s="63">
        <f>Q63-K63</f>
        <v>0</v>
      </c>
      <c r="O63" s="63">
        <f>R63-L63</f>
        <v>208</v>
      </c>
      <c r="P63" s="15" t="e">
        <f t="shared" si="1"/>
        <v>#DIV/0!</v>
      </c>
      <c r="Q63" s="66">
        <v>15</v>
      </c>
      <c r="R63" s="66">
        <v>272</v>
      </c>
      <c r="S63" s="15">
        <f t="shared" si="2"/>
        <v>1713.3333333333333</v>
      </c>
      <c r="T63" s="63">
        <f>W63-Q63</f>
        <v>337</v>
      </c>
      <c r="U63" s="63">
        <f>X63-R63</f>
        <v>382</v>
      </c>
      <c r="V63" s="15">
        <f t="shared" ref="V63:V64" si="402">(U63/T63-1)*100</f>
        <v>13.353115727002972</v>
      </c>
      <c r="W63" s="66">
        <v>352</v>
      </c>
      <c r="X63" s="66">
        <f>644+10</f>
        <v>654</v>
      </c>
      <c r="Y63" s="15">
        <f t="shared" ref="Y63:Y64" si="403">(X63/W63-1)*100</f>
        <v>85.795454545454547</v>
      </c>
      <c r="Z63" s="63">
        <f>AC63-W63</f>
        <v>0</v>
      </c>
      <c r="AA63" s="63">
        <f>AD63-X63</f>
        <v>0</v>
      </c>
      <c r="AB63" s="15" t="e">
        <f t="shared" ref="AB63:AB64" si="404">(AA63/Z63-1)*100</f>
        <v>#DIV/0!</v>
      </c>
      <c r="AC63" s="66">
        <f>337+15</f>
        <v>352</v>
      </c>
      <c r="AD63" s="66">
        <f>644+10</f>
        <v>654</v>
      </c>
      <c r="AE63" s="15">
        <f t="shared" ref="AE63:AE64" si="405">(AD63/AC63-1)*100</f>
        <v>85.795454545454547</v>
      </c>
      <c r="AF63" s="63">
        <f>AI63-AC63</f>
        <v>11</v>
      </c>
      <c r="AG63" s="63">
        <f>AJ63-AD63</f>
        <v>0</v>
      </c>
      <c r="AH63" s="15">
        <f t="shared" ref="AH63:AH64" si="406">(AG63/AF63-1)*100</f>
        <v>-100</v>
      </c>
      <c r="AI63" s="66">
        <f>348+15</f>
        <v>363</v>
      </c>
      <c r="AJ63" s="66">
        <v>654</v>
      </c>
      <c r="AK63" s="15">
        <f t="shared" ref="AK63:AK64" si="407">(AJ63/AI63-1)*100</f>
        <v>80.165289256198349</v>
      </c>
      <c r="AL63" s="63">
        <f>AO63-AI63</f>
        <v>342</v>
      </c>
      <c r="AM63" s="63">
        <f>AP63-AJ63</f>
        <v>0</v>
      </c>
      <c r="AN63" s="15">
        <f t="shared" ref="AN63:AN64" si="408">(AM63/AL63-1)*100</f>
        <v>-100</v>
      </c>
      <c r="AO63" s="66">
        <f>348+357</f>
        <v>705</v>
      </c>
      <c r="AP63" s="66">
        <f>644+10</f>
        <v>654</v>
      </c>
      <c r="AQ63" s="15">
        <f t="shared" ref="AQ63:AQ64" si="409">(AP63/AO63-1)*100</f>
        <v>-7.2340425531914887</v>
      </c>
      <c r="AR63" s="63">
        <f>AU63-AO63</f>
        <v>532</v>
      </c>
      <c r="AS63" s="63">
        <f>AV63-AP63</f>
        <v>0</v>
      </c>
      <c r="AT63" s="15">
        <f t="shared" ref="AT63:AT64" si="410">(AS63/AR63-1)*100</f>
        <v>-100</v>
      </c>
      <c r="AU63" s="66">
        <f>881+356</f>
        <v>1237</v>
      </c>
      <c r="AV63" s="66">
        <v>654</v>
      </c>
      <c r="AW63" s="15">
        <f t="shared" ref="AW63:AW64" si="411">(AV63/AU63-1)*100</f>
        <v>-47.130153597413091</v>
      </c>
      <c r="AX63" s="63">
        <f>BA63-AU63</f>
        <v>0</v>
      </c>
      <c r="AY63" s="63">
        <f>BB63-AV63</f>
        <v>987</v>
      </c>
      <c r="AZ63" s="15" t="e">
        <f t="shared" ref="AZ63:AZ64" si="412">(AY63/AX63-1)*100</f>
        <v>#DIV/0!</v>
      </c>
      <c r="BA63" s="66">
        <v>1237</v>
      </c>
      <c r="BB63" s="66">
        <v>1641</v>
      </c>
      <c r="BC63" s="15">
        <f t="shared" ref="BC63:BC64" si="413">(BB63/BA63-1)*100</f>
        <v>32.659660468876318</v>
      </c>
      <c r="BD63" s="63">
        <f>BG63-BA63</f>
        <v>0</v>
      </c>
      <c r="BE63" s="63">
        <f>BH63-BB63</f>
        <v>971</v>
      </c>
      <c r="BF63" s="15" t="e">
        <f t="shared" ref="BF63:BF64" si="414">(BE63/BD63-1)*100</f>
        <v>#DIV/0!</v>
      </c>
      <c r="BG63" s="66">
        <f>881+356</f>
        <v>1237</v>
      </c>
      <c r="BH63" s="66">
        <v>2612</v>
      </c>
      <c r="BI63" s="15">
        <f t="shared" ref="BI63:BI64" si="415">(BH63/BG63-1)*100</f>
        <v>111.15602263540825</v>
      </c>
      <c r="BJ63" s="63">
        <f>BM63-BG63</f>
        <v>0</v>
      </c>
      <c r="BK63" s="63">
        <f>BN63-BH63</f>
        <v>0</v>
      </c>
      <c r="BL63" s="15" t="e">
        <f t="shared" ref="BL63:BL64" si="416">(BK63/BJ63-1)*100</f>
        <v>#DIV/0!</v>
      </c>
      <c r="BM63" s="66">
        <v>1237</v>
      </c>
      <c r="BN63" s="66">
        <v>2612</v>
      </c>
      <c r="BO63" s="15">
        <f t="shared" ref="BO63:BO64" si="417">(BN63/BM63-1)*100</f>
        <v>111.15602263540825</v>
      </c>
      <c r="BP63" s="63">
        <f>BS63-BM63</f>
        <v>0</v>
      </c>
      <c r="BQ63" s="63">
        <f>BT63-BN63</f>
        <v>0</v>
      </c>
      <c r="BR63" s="15" t="e">
        <f t="shared" ref="BR63:BR64" si="418">(BQ63/BP63-1)*100</f>
        <v>#DIV/0!</v>
      </c>
      <c r="BS63" s="66">
        <v>1237</v>
      </c>
      <c r="BT63" s="66">
        <v>2612</v>
      </c>
      <c r="BU63" s="15">
        <f t="shared" ref="BU63:BU64" si="419">(BT63/BS63-1)*100</f>
        <v>111.15602263540825</v>
      </c>
      <c r="BV63" s="63">
        <f>BY63-BS63</f>
        <v>159</v>
      </c>
      <c r="BW63" s="63">
        <f>BZ63-BT63</f>
        <v>27</v>
      </c>
      <c r="BX63" s="15">
        <f t="shared" ref="BX63:BX64" si="420">(BW63/BV63-1)*100</f>
        <v>-83.018867924528308</v>
      </c>
      <c r="BY63" s="66">
        <v>1396</v>
      </c>
      <c r="BZ63" s="66">
        <v>2639</v>
      </c>
      <c r="CA63" s="15">
        <f t="shared" ref="CA63:CA64" si="421">(BZ63/BY63-1)*100</f>
        <v>89.040114613180506</v>
      </c>
      <c r="CB63" s="108"/>
    </row>
    <row r="64" spans="1:80" s="1" customFormat="1" ht="19.5" customHeight="1">
      <c r="A64" s="185"/>
      <c r="B64" s="167"/>
      <c r="C64" s="82" t="s">
        <v>104</v>
      </c>
      <c r="D64" s="17">
        <v>10901</v>
      </c>
      <c r="E64" s="17">
        <v>43100</v>
      </c>
      <c r="F64" s="17">
        <v>543537</v>
      </c>
      <c r="G64" s="17">
        <v>457464</v>
      </c>
      <c r="H64" s="17">
        <f>150955+254563</f>
        <v>405518</v>
      </c>
      <c r="I64" s="17">
        <f>3292+73839</f>
        <v>77131</v>
      </c>
      <c r="J64" s="17">
        <f>86229+63598</f>
        <v>149827</v>
      </c>
      <c r="K64" s="17">
        <v>8594</v>
      </c>
      <c r="L64" s="17">
        <v>16835</v>
      </c>
      <c r="M64" s="18">
        <f t="shared" si="0"/>
        <v>95.892483127763555</v>
      </c>
      <c r="N64" s="17">
        <f>Q64-K64</f>
        <v>0</v>
      </c>
      <c r="O64" s="17">
        <f>R64-L64</f>
        <v>13124</v>
      </c>
      <c r="P64" s="18" t="e">
        <f t="shared" si="1"/>
        <v>#DIV/0!</v>
      </c>
      <c r="Q64" s="17">
        <v>8594</v>
      </c>
      <c r="R64" s="17">
        <v>29959</v>
      </c>
      <c r="S64" s="18">
        <f t="shared" si="2"/>
        <v>248.60367698394228</v>
      </c>
      <c r="T64" s="17">
        <f>W64-Q64</f>
        <v>20060</v>
      </c>
      <c r="U64" s="17">
        <f>X64-R64</f>
        <v>25268</v>
      </c>
      <c r="V64" s="18">
        <f t="shared" si="402"/>
        <v>25.962113659022922</v>
      </c>
      <c r="W64" s="17">
        <v>28654</v>
      </c>
      <c r="X64" s="17">
        <f>53798+1429</f>
        <v>55227</v>
      </c>
      <c r="Y64" s="18">
        <f t="shared" si="403"/>
        <v>92.737488657779025</v>
      </c>
      <c r="Z64" s="17">
        <f>AC64-W64</f>
        <v>0</v>
      </c>
      <c r="AA64" s="17">
        <f>AD64-X64</f>
        <v>0</v>
      </c>
      <c r="AB64" s="18" t="e">
        <f t="shared" si="404"/>
        <v>#DIV/0!</v>
      </c>
      <c r="AC64" s="17">
        <f>19987+8667</f>
        <v>28654</v>
      </c>
      <c r="AD64" s="17">
        <f>53798+1429</f>
        <v>55227</v>
      </c>
      <c r="AE64" s="18">
        <f t="shared" si="405"/>
        <v>92.737488657779025</v>
      </c>
      <c r="AF64" s="17">
        <f>AI64-AC64</f>
        <v>720</v>
      </c>
      <c r="AG64" s="17">
        <f>AJ64-AD64</f>
        <v>0</v>
      </c>
      <c r="AH64" s="18">
        <f t="shared" si="406"/>
        <v>-100</v>
      </c>
      <c r="AI64" s="17">
        <f>20707+8667</f>
        <v>29374</v>
      </c>
      <c r="AJ64" s="17">
        <f>53798+1429</f>
        <v>55227</v>
      </c>
      <c r="AK64" s="18">
        <f t="shared" si="407"/>
        <v>88.013208960305022</v>
      </c>
      <c r="AL64" s="17">
        <f>AO64-AI64</f>
        <v>54400</v>
      </c>
      <c r="AM64" s="17">
        <f>AP64-AJ64</f>
        <v>0</v>
      </c>
      <c r="AN64" s="18">
        <f t="shared" si="408"/>
        <v>-100</v>
      </c>
      <c r="AO64" s="17">
        <f>20707+63067</f>
        <v>83774</v>
      </c>
      <c r="AP64" s="17">
        <f>53798+1429</f>
        <v>55227</v>
      </c>
      <c r="AQ64" s="18">
        <f t="shared" si="409"/>
        <v>-34.076205027812925</v>
      </c>
      <c r="AR64" s="17">
        <f>AU64-AO64</f>
        <v>27907</v>
      </c>
      <c r="AS64" s="17">
        <f>AV64-AP64</f>
        <v>0</v>
      </c>
      <c r="AT64" s="18">
        <f t="shared" si="410"/>
        <v>-100</v>
      </c>
      <c r="AU64" s="17">
        <f>48614+63067</f>
        <v>111681</v>
      </c>
      <c r="AV64" s="17">
        <f>53798+1429</f>
        <v>55227</v>
      </c>
      <c r="AW64" s="18">
        <f t="shared" si="411"/>
        <v>-50.549332473742183</v>
      </c>
      <c r="AX64" s="17">
        <f>BA64-AU64</f>
        <v>0</v>
      </c>
      <c r="AY64" s="17">
        <f>BB64-AV64</f>
        <v>62972</v>
      </c>
      <c r="AZ64" s="18" t="e">
        <f t="shared" si="412"/>
        <v>#DIV/0!</v>
      </c>
      <c r="BA64" s="17">
        <f>48614+63067</f>
        <v>111681</v>
      </c>
      <c r="BB64" s="17">
        <f>116770+1429</f>
        <v>118199</v>
      </c>
      <c r="BC64" s="18">
        <f t="shared" si="413"/>
        <v>5.8362657927489847</v>
      </c>
      <c r="BD64" s="17">
        <f>BG64-BA64</f>
        <v>0</v>
      </c>
      <c r="BE64" s="17">
        <f>BH64-BB64</f>
        <v>80223</v>
      </c>
      <c r="BF64" s="18" t="e">
        <f t="shared" si="414"/>
        <v>#DIV/0!</v>
      </c>
      <c r="BG64" s="17">
        <f>48614+63067</f>
        <v>111681</v>
      </c>
      <c r="BH64" s="17">
        <f>175993+22429</f>
        <v>198422</v>
      </c>
      <c r="BI64" s="18">
        <f t="shared" si="415"/>
        <v>77.668538068247955</v>
      </c>
      <c r="BJ64" s="17">
        <f>BM64-BG64</f>
        <v>0</v>
      </c>
      <c r="BK64" s="17">
        <f>BN64-BH64</f>
        <v>102</v>
      </c>
      <c r="BL64" s="18" t="e">
        <f t="shared" si="416"/>
        <v>#DIV/0!</v>
      </c>
      <c r="BM64" s="17">
        <f>48614+63067</f>
        <v>111681</v>
      </c>
      <c r="BN64" s="17">
        <v>198524</v>
      </c>
      <c r="BO64" s="18">
        <f t="shared" si="417"/>
        <v>77.759869628674537</v>
      </c>
      <c r="BP64" s="17">
        <f>BS64-BM64</f>
        <v>0</v>
      </c>
      <c r="BQ64" s="17">
        <f>BT64-BN64</f>
        <v>104</v>
      </c>
      <c r="BR64" s="18" t="e">
        <f t="shared" si="418"/>
        <v>#DIV/0!</v>
      </c>
      <c r="BS64" s="17">
        <f>48614+63067</f>
        <v>111681</v>
      </c>
      <c r="BT64" s="17">
        <v>198628</v>
      </c>
      <c r="BU64" s="18">
        <f t="shared" si="419"/>
        <v>77.85299200401144</v>
      </c>
      <c r="BV64" s="17">
        <f>BY64-BS64</f>
        <v>38146</v>
      </c>
      <c r="BW64" s="17">
        <f>BZ64-BT64</f>
        <v>4731</v>
      </c>
      <c r="BX64" s="18">
        <f t="shared" si="420"/>
        <v>-87.597651129869448</v>
      </c>
      <c r="BY64" s="17">
        <f>86229+63598</f>
        <v>149827</v>
      </c>
      <c r="BZ64" s="17">
        <f>176368+26991</f>
        <v>203359</v>
      </c>
      <c r="CA64" s="18">
        <f t="shared" si="421"/>
        <v>35.729207686198073</v>
      </c>
      <c r="CB64" s="108"/>
    </row>
    <row r="65" spans="1:80" s="1" customFormat="1" ht="19.5" customHeight="1">
      <c r="A65" s="186"/>
      <c r="B65" s="168"/>
      <c r="C65" s="83" t="s">
        <v>105</v>
      </c>
      <c r="D65" s="64">
        <f t="shared" ref="D65:L65" si="422">D64/D63</f>
        <v>145.73529411764707</v>
      </c>
      <c r="E65" s="64">
        <f t="shared" si="422"/>
        <v>288.87399463806975</v>
      </c>
      <c r="F65" s="64">
        <f t="shared" si="422"/>
        <v>35.471970240814464</v>
      </c>
      <c r="G65" s="64">
        <f t="shared" si="422"/>
        <v>33.450131617432</v>
      </c>
      <c r="H65" s="64">
        <f>H64/H63</f>
        <v>78.270218104613008</v>
      </c>
      <c r="I65" s="64">
        <f>I64/I63</f>
        <v>213.06906077348066</v>
      </c>
      <c r="J65" s="64">
        <f>J64/J63</f>
        <v>107.32593123209169</v>
      </c>
      <c r="K65" s="64">
        <f t="shared" si="422"/>
        <v>572.93333333333328</v>
      </c>
      <c r="L65" s="64">
        <f t="shared" si="422"/>
        <v>263.046875</v>
      </c>
      <c r="M65" s="65"/>
      <c r="N65" s="64" t="e">
        <f>N64/N63</f>
        <v>#DIV/0!</v>
      </c>
      <c r="O65" s="64">
        <f>O64/O63</f>
        <v>63.096153846153847</v>
      </c>
      <c r="P65" s="65"/>
      <c r="Q65" s="64">
        <f>Q64/Q63</f>
        <v>572.93333333333328</v>
      </c>
      <c r="R65" s="64">
        <f>R64/R63</f>
        <v>110.14338235294117</v>
      </c>
      <c r="S65" s="65"/>
      <c r="T65" s="64">
        <f>T64/T63</f>
        <v>59.525222551928785</v>
      </c>
      <c r="U65" s="64">
        <f>U64/U63</f>
        <v>66.146596858638745</v>
      </c>
      <c r="V65" s="65"/>
      <c r="W65" s="64">
        <f>W64/W63</f>
        <v>81.403409090909093</v>
      </c>
      <c r="X65" s="64">
        <f>X64/X63</f>
        <v>84.444954128440372</v>
      </c>
      <c r="Y65" s="65"/>
      <c r="Z65" s="64" t="e">
        <f>Z64/Z63</f>
        <v>#DIV/0!</v>
      </c>
      <c r="AA65" s="64" t="e">
        <f>AA64/AA63</f>
        <v>#DIV/0!</v>
      </c>
      <c r="AB65" s="65"/>
      <c r="AC65" s="64">
        <f>AC64/AC63</f>
        <v>81.403409090909093</v>
      </c>
      <c r="AD65" s="64">
        <f>AD64/AD63</f>
        <v>84.444954128440372</v>
      </c>
      <c r="AE65" s="65"/>
      <c r="AF65" s="64">
        <f>AF64/AF63</f>
        <v>65.454545454545453</v>
      </c>
      <c r="AG65" s="64" t="e">
        <f>AG64/AG63</f>
        <v>#DIV/0!</v>
      </c>
      <c r="AH65" s="65"/>
      <c r="AI65" s="64">
        <f>AI64/AI63</f>
        <v>80.92011019283747</v>
      </c>
      <c r="AJ65" s="64">
        <f>AJ64/AJ63</f>
        <v>84.444954128440372</v>
      </c>
      <c r="AK65" s="65"/>
      <c r="AL65" s="64">
        <f>AL64/AL63</f>
        <v>159.06432748538012</v>
      </c>
      <c r="AM65" s="64" t="e">
        <f>AM64/AM63</f>
        <v>#DIV/0!</v>
      </c>
      <c r="AN65" s="65"/>
      <c r="AO65" s="64">
        <f>AO64/AO63</f>
        <v>118.82836879432624</v>
      </c>
      <c r="AP65" s="64">
        <f>AP64/AP63</f>
        <v>84.444954128440372</v>
      </c>
      <c r="AQ65" s="65"/>
      <c r="AR65" s="64">
        <f>AR64/AR63</f>
        <v>52.45676691729323</v>
      </c>
      <c r="AS65" s="64" t="e">
        <f>AS64/AS63</f>
        <v>#DIV/0!</v>
      </c>
      <c r="AT65" s="65"/>
      <c r="AU65" s="64">
        <f>AU64/AU63</f>
        <v>90.283751010509292</v>
      </c>
      <c r="AV65" s="64">
        <f>AV64/AV63</f>
        <v>84.444954128440372</v>
      </c>
      <c r="AW65" s="65"/>
      <c r="AX65" s="64" t="e">
        <f>AX64/AX63</f>
        <v>#DIV/0!</v>
      </c>
      <c r="AY65" s="64">
        <f>AY64/AY63</f>
        <v>63.801418439716315</v>
      </c>
      <c r="AZ65" s="65"/>
      <c r="BA65" s="64">
        <f>BA64/BA63</f>
        <v>90.283751010509292</v>
      </c>
      <c r="BB65" s="64">
        <f>BB64/BB63</f>
        <v>72.028641072516763</v>
      </c>
      <c r="BC65" s="65"/>
      <c r="BD65" s="64" t="e">
        <f>BD64/BD63</f>
        <v>#DIV/0!</v>
      </c>
      <c r="BE65" s="64">
        <f>BE64/BE63</f>
        <v>82.618949536560251</v>
      </c>
      <c r="BF65" s="65"/>
      <c r="BG65" s="64">
        <f>BG64/BG63</f>
        <v>90.283751010509292</v>
      </c>
      <c r="BH65" s="64">
        <f>BH64/BH63</f>
        <v>75.965543644716689</v>
      </c>
      <c r="BI65" s="65"/>
      <c r="BJ65" s="64" t="e">
        <f>BJ64/BJ63</f>
        <v>#DIV/0!</v>
      </c>
      <c r="BK65" s="64" t="e">
        <f>BK64/BK63</f>
        <v>#DIV/0!</v>
      </c>
      <c r="BL65" s="65"/>
      <c r="BM65" s="64">
        <f>BM64/BM63</f>
        <v>90.283751010509292</v>
      </c>
      <c r="BN65" s="64">
        <f>BN64/BN63</f>
        <v>76.004594180704444</v>
      </c>
      <c r="BO65" s="65"/>
      <c r="BP65" s="64" t="e">
        <f>BP64/BP63</f>
        <v>#DIV/0!</v>
      </c>
      <c r="BQ65" s="64" t="e">
        <f>BQ64/BQ63</f>
        <v>#DIV/0!</v>
      </c>
      <c r="BR65" s="65"/>
      <c r="BS65" s="64">
        <f>BS64/BS63</f>
        <v>90.283751010509292</v>
      </c>
      <c r="BT65" s="64">
        <f>BT64/BT63</f>
        <v>76.044410413476257</v>
      </c>
      <c r="BU65" s="65"/>
      <c r="BV65" s="64">
        <f>BV64/BV63</f>
        <v>239.91194968553458</v>
      </c>
      <c r="BW65" s="64">
        <f>BW64/BW63</f>
        <v>175.22222222222223</v>
      </c>
      <c r="BX65" s="65"/>
      <c r="BY65" s="64">
        <f>BY64/BY63</f>
        <v>107.32593123209169</v>
      </c>
      <c r="BZ65" s="64">
        <f>BZ64/BZ63</f>
        <v>77.059113300492612</v>
      </c>
      <c r="CA65" s="65"/>
      <c r="CB65" s="108"/>
    </row>
    <row r="66" spans="1:80" s="1" customFormat="1" ht="19.5" customHeight="1">
      <c r="A66" s="178" t="s">
        <v>155</v>
      </c>
      <c r="B66" s="133" t="s">
        <v>9</v>
      </c>
      <c r="C66" s="81" t="s">
        <v>42</v>
      </c>
      <c r="D66" s="66">
        <v>0</v>
      </c>
      <c r="E66" s="66">
        <v>0</v>
      </c>
      <c r="F66" s="66">
        <v>10</v>
      </c>
      <c r="G66" s="66">
        <v>77</v>
      </c>
      <c r="H66" s="66">
        <v>1</v>
      </c>
      <c r="I66" s="66">
        <v>0</v>
      </c>
      <c r="J66" s="66">
        <v>0</v>
      </c>
      <c r="K66" s="66">
        <v>0</v>
      </c>
      <c r="L66" s="66">
        <v>0</v>
      </c>
      <c r="M66" s="15" t="e">
        <f t="shared" si="0"/>
        <v>#DIV/0!</v>
      </c>
      <c r="N66" s="63">
        <f>Q66-K66</f>
        <v>0</v>
      </c>
      <c r="O66" s="63">
        <f>R66-L66</f>
        <v>0</v>
      </c>
      <c r="P66" s="15" t="e">
        <f t="shared" si="1"/>
        <v>#DIV/0!</v>
      </c>
      <c r="Q66" s="66">
        <v>0</v>
      </c>
      <c r="R66" s="66">
        <v>0</v>
      </c>
      <c r="S66" s="15" t="e">
        <f t="shared" si="2"/>
        <v>#DIV/0!</v>
      </c>
      <c r="T66" s="63">
        <f>W66-Q66</f>
        <v>0</v>
      </c>
      <c r="U66" s="63">
        <f>X66-R66</f>
        <v>0</v>
      </c>
      <c r="V66" s="15" t="e">
        <f t="shared" ref="V66:V67" si="423">(U66/T66-1)*100</f>
        <v>#DIV/0!</v>
      </c>
      <c r="W66" s="66">
        <v>0</v>
      </c>
      <c r="X66" s="66">
        <v>0</v>
      </c>
      <c r="Y66" s="15" t="e">
        <f t="shared" ref="Y66:Y67" si="424">(X66/W66-1)*100</f>
        <v>#DIV/0!</v>
      </c>
      <c r="Z66" s="63">
        <f>AC66-W66</f>
        <v>0</v>
      </c>
      <c r="AA66" s="63">
        <f>AD66-X66</f>
        <v>0</v>
      </c>
      <c r="AB66" s="15" t="e">
        <f t="shared" ref="AB66:AB67" si="425">(AA66/Z66-1)*100</f>
        <v>#DIV/0!</v>
      </c>
      <c r="AC66" s="66">
        <v>0</v>
      </c>
      <c r="AD66" s="66">
        <v>0</v>
      </c>
      <c r="AE66" s="15" t="e">
        <f t="shared" ref="AE66:AE67" si="426">(AD66/AC66-1)*100</f>
        <v>#DIV/0!</v>
      </c>
      <c r="AF66" s="63">
        <f>AI66-AC66</f>
        <v>0</v>
      </c>
      <c r="AG66" s="63">
        <f>AJ66-AD66</f>
        <v>0</v>
      </c>
      <c r="AH66" s="15" t="e">
        <f t="shared" ref="AH66:AH67" si="427">(AG66/AF66-1)*100</f>
        <v>#DIV/0!</v>
      </c>
      <c r="AI66" s="66">
        <v>0</v>
      </c>
      <c r="AJ66" s="66">
        <v>0</v>
      </c>
      <c r="AK66" s="15" t="e">
        <f t="shared" ref="AK66:AK67" si="428">(AJ66/AI66-1)*100</f>
        <v>#DIV/0!</v>
      </c>
      <c r="AL66" s="63">
        <f>AO66-AI66</f>
        <v>0</v>
      </c>
      <c r="AM66" s="63">
        <f>AP66-AJ66</f>
        <v>0</v>
      </c>
      <c r="AN66" s="15" t="e">
        <f t="shared" ref="AN66:AN67" si="429">(AM66/AL66-1)*100</f>
        <v>#DIV/0!</v>
      </c>
      <c r="AO66" s="66">
        <v>0</v>
      </c>
      <c r="AP66" s="66">
        <v>0</v>
      </c>
      <c r="AQ66" s="15" t="e">
        <f t="shared" ref="AQ66:AQ67" si="430">(AP66/AO66-1)*100</f>
        <v>#DIV/0!</v>
      </c>
      <c r="AR66" s="63">
        <f>AU66-AO66</f>
        <v>0</v>
      </c>
      <c r="AS66" s="63">
        <f>AV66-AP66</f>
        <v>0</v>
      </c>
      <c r="AT66" s="15" t="e">
        <f t="shared" ref="AT66:AT67" si="431">(AS66/AR66-1)*100</f>
        <v>#DIV/0!</v>
      </c>
      <c r="AU66" s="66">
        <v>0</v>
      </c>
      <c r="AV66" s="66">
        <v>0</v>
      </c>
      <c r="AW66" s="15" t="e">
        <f t="shared" ref="AW66:AW67" si="432">(AV66/AU66-1)*100</f>
        <v>#DIV/0!</v>
      </c>
      <c r="AX66" s="63">
        <f>BA66-AU66</f>
        <v>0</v>
      </c>
      <c r="AY66" s="63">
        <f>BB66-AV66</f>
        <v>0</v>
      </c>
      <c r="AZ66" s="15" t="e">
        <f t="shared" ref="AZ66:AZ67" si="433">(AY66/AX66-1)*100</f>
        <v>#DIV/0!</v>
      </c>
      <c r="BA66" s="66">
        <v>0</v>
      </c>
      <c r="BB66" s="66">
        <v>0</v>
      </c>
      <c r="BC66" s="15" t="e">
        <f t="shared" ref="BC66:BC67" si="434">(BB66/BA66-1)*100</f>
        <v>#DIV/0!</v>
      </c>
      <c r="BD66" s="63">
        <f>BG66-BA66</f>
        <v>0</v>
      </c>
      <c r="BE66" s="63">
        <f>BH66-BB66</f>
        <v>0</v>
      </c>
      <c r="BF66" s="15" t="e">
        <f t="shared" ref="BF66:BF67" si="435">(BE66/BD66-1)*100</f>
        <v>#DIV/0!</v>
      </c>
      <c r="BG66" s="66">
        <v>0</v>
      </c>
      <c r="BH66" s="66">
        <v>0</v>
      </c>
      <c r="BI66" s="15" t="e">
        <f t="shared" ref="BI66:BI67" si="436">(BH66/BG66-1)*100</f>
        <v>#DIV/0!</v>
      </c>
      <c r="BJ66" s="63">
        <f>BM66-BG66</f>
        <v>0</v>
      </c>
      <c r="BK66" s="63">
        <f>BN66-BH66</f>
        <v>0</v>
      </c>
      <c r="BL66" s="15" t="e">
        <f t="shared" ref="BL66:BL67" si="437">(BK66/BJ66-1)*100</f>
        <v>#DIV/0!</v>
      </c>
      <c r="BM66" s="66">
        <v>0</v>
      </c>
      <c r="BN66" s="66">
        <v>0</v>
      </c>
      <c r="BO66" s="15" t="e">
        <f t="shared" ref="BO66:BO67" si="438">(BN66/BM66-1)*100</f>
        <v>#DIV/0!</v>
      </c>
      <c r="BP66" s="63">
        <f>BS66-BM66</f>
        <v>0</v>
      </c>
      <c r="BQ66" s="63">
        <f>BT66-BN66</f>
        <v>0</v>
      </c>
      <c r="BR66" s="15" t="e">
        <f t="shared" ref="BR66:BR67" si="439">(BQ66/BP66-1)*100</f>
        <v>#DIV/0!</v>
      </c>
      <c r="BS66" s="66">
        <v>0</v>
      </c>
      <c r="BT66" s="66">
        <v>0</v>
      </c>
      <c r="BU66" s="15" t="e">
        <f t="shared" ref="BU66:BU67" si="440">(BT66/BS66-1)*100</f>
        <v>#DIV/0!</v>
      </c>
      <c r="BV66" s="63">
        <f>BY66-BS66</f>
        <v>0</v>
      </c>
      <c r="BW66" s="63">
        <f>BZ66-BT66</f>
        <v>0</v>
      </c>
      <c r="BX66" s="15" t="e">
        <f t="shared" ref="BX66:BX67" si="441">(BW66/BV66-1)*100</f>
        <v>#DIV/0!</v>
      </c>
      <c r="BY66" s="66">
        <v>0</v>
      </c>
      <c r="BZ66" s="66">
        <v>0</v>
      </c>
      <c r="CA66" s="15" t="e">
        <f t="shared" ref="CA66:CA67" si="442">(BZ66/BY66-1)*100</f>
        <v>#DIV/0!</v>
      </c>
      <c r="CB66" s="108"/>
    </row>
    <row r="67" spans="1:80" s="1" customFormat="1" ht="19.5" customHeight="1">
      <c r="A67" s="179"/>
      <c r="B67" s="115"/>
      <c r="C67" s="82" t="s">
        <v>104</v>
      </c>
      <c r="D67" s="17">
        <v>0</v>
      </c>
      <c r="E67" s="17">
        <v>0</v>
      </c>
      <c r="F67" s="17">
        <v>16166</v>
      </c>
      <c r="G67" s="17">
        <v>118367</v>
      </c>
      <c r="H67" s="17">
        <v>1058</v>
      </c>
      <c r="I67" s="17">
        <v>1</v>
      </c>
      <c r="J67" s="17">
        <v>0</v>
      </c>
      <c r="K67" s="17">
        <v>0</v>
      </c>
      <c r="L67" s="17">
        <v>0</v>
      </c>
      <c r="M67" s="18" t="e">
        <f t="shared" si="0"/>
        <v>#DIV/0!</v>
      </c>
      <c r="N67" s="17">
        <f>Q67-K67</f>
        <v>0</v>
      </c>
      <c r="O67" s="17">
        <f>R67-L67</f>
        <v>0</v>
      </c>
      <c r="P67" s="18" t="e">
        <f t="shared" si="1"/>
        <v>#DIV/0!</v>
      </c>
      <c r="Q67" s="17">
        <v>0</v>
      </c>
      <c r="R67" s="17">
        <v>0</v>
      </c>
      <c r="S67" s="18" t="e">
        <f t="shared" si="2"/>
        <v>#DIV/0!</v>
      </c>
      <c r="T67" s="17">
        <f>W67-Q67</f>
        <v>0</v>
      </c>
      <c r="U67" s="17">
        <f>X67-R67</f>
        <v>0</v>
      </c>
      <c r="V67" s="18" t="e">
        <f t="shared" si="423"/>
        <v>#DIV/0!</v>
      </c>
      <c r="W67" s="17">
        <v>0</v>
      </c>
      <c r="X67" s="17">
        <v>0</v>
      </c>
      <c r="Y67" s="18" t="e">
        <f t="shared" si="424"/>
        <v>#DIV/0!</v>
      </c>
      <c r="Z67" s="17">
        <f>AC67-W67</f>
        <v>0</v>
      </c>
      <c r="AA67" s="17">
        <f>AD67-X67</f>
        <v>0</v>
      </c>
      <c r="AB67" s="18" t="e">
        <f t="shared" si="425"/>
        <v>#DIV/0!</v>
      </c>
      <c r="AC67" s="17">
        <v>0</v>
      </c>
      <c r="AD67" s="17">
        <v>0</v>
      </c>
      <c r="AE67" s="18" t="e">
        <f t="shared" si="426"/>
        <v>#DIV/0!</v>
      </c>
      <c r="AF67" s="17">
        <f>AI67-AC67</f>
        <v>0</v>
      </c>
      <c r="AG67" s="17">
        <f>AJ67-AD67</f>
        <v>0</v>
      </c>
      <c r="AH67" s="18" t="e">
        <f t="shared" si="427"/>
        <v>#DIV/0!</v>
      </c>
      <c r="AI67" s="17">
        <v>0</v>
      </c>
      <c r="AJ67" s="17">
        <v>0</v>
      </c>
      <c r="AK67" s="18" t="e">
        <f t="shared" si="428"/>
        <v>#DIV/0!</v>
      </c>
      <c r="AL67" s="17">
        <f>AO67-AI67</f>
        <v>0</v>
      </c>
      <c r="AM67" s="17">
        <f>AP67-AJ67</f>
        <v>0</v>
      </c>
      <c r="AN67" s="18" t="e">
        <f t="shared" si="429"/>
        <v>#DIV/0!</v>
      </c>
      <c r="AO67" s="17">
        <v>0</v>
      </c>
      <c r="AP67" s="17">
        <v>0</v>
      </c>
      <c r="AQ67" s="18" t="e">
        <f t="shared" si="430"/>
        <v>#DIV/0!</v>
      </c>
      <c r="AR67" s="17">
        <f>AU67-AO67</f>
        <v>0</v>
      </c>
      <c r="AS67" s="17">
        <f>AV67-AP67</f>
        <v>0</v>
      </c>
      <c r="AT67" s="18" t="e">
        <f t="shared" si="431"/>
        <v>#DIV/0!</v>
      </c>
      <c r="AU67" s="17">
        <v>0</v>
      </c>
      <c r="AV67" s="17">
        <v>0</v>
      </c>
      <c r="AW67" s="18" t="e">
        <f t="shared" si="432"/>
        <v>#DIV/0!</v>
      </c>
      <c r="AX67" s="17">
        <f>BA67-AU67</f>
        <v>0</v>
      </c>
      <c r="AY67" s="17">
        <f>BB67-AV67</f>
        <v>29</v>
      </c>
      <c r="AZ67" s="18" t="e">
        <f t="shared" si="433"/>
        <v>#DIV/0!</v>
      </c>
      <c r="BA67" s="17">
        <v>0</v>
      </c>
      <c r="BB67" s="17">
        <v>29</v>
      </c>
      <c r="BC67" s="18" t="e">
        <f t="shared" si="434"/>
        <v>#DIV/0!</v>
      </c>
      <c r="BD67" s="17">
        <f>BG67-BA67</f>
        <v>0</v>
      </c>
      <c r="BE67" s="17">
        <f>BH67-BB67</f>
        <v>0</v>
      </c>
      <c r="BF67" s="18" t="e">
        <f t="shared" si="435"/>
        <v>#DIV/0!</v>
      </c>
      <c r="BG67" s="17">
        <v>0</v>
      </c>
      <c r="BH67" s="17">
        <v>29</v>
      </c>
      <c r="BI67" s="18" t="e">
        <f t="shared" si="436"/>
        <v>#DIV/0!</v>
      </c>
      <c r="BJ67" s="17">
        <f>BM67-BG67</f>
        <v>0</v>
      </c>
      <c r="BK67" s="17">
        <f>BN67-BH67</f>
        <v>0</v>
      </c>
      <c r="BL67" s="18" t="e">
        <f t="shared" si="437"/>
        <v>#DIV/0!</v>
      </c>
      <c r="BM67" s="17">
        <v>0</v>
      </c>
      <c r="BN67" s="17">
        <v>29</v>
      </c>
      <c r="BO67" s="18" t="e">
        <f t="shared" si="438"/>
        <v>#DIV/0!</v>
      </c>
      <c r="BP67" s="17">
        <f>BS67-BM67</f>
        <v>0</v>
      </c>
      <c r="BQ67" s="17">
        <f>BT67-BN67</f>
        <v>0</v>
      </c>
      <c r="BR67" s="18" t="e">
        <f t="shared" si="439"/>
        <v>#DIV/0!</v>
      </c>
      <c r="BS67" s="17">
        <v>0</v>
      </c>
      <c r="BT67" s="17">
        <v>29</v>
      </c>
      <c r="BU67" s="18" t="e">
        <f t="shared" si="440"/>
        <v>#DIV/0!</v>
      </c>
      <c r="BV67" s="17">
        <f>BY67-BS67</f>
        <v>0</v>
      </c>
      <c r="BW67" s="17">
        <f>BZ67-BT67</f>
        <v>0</v>
      </c>
      <c r="BX67" s="18" t="e">
        <f t="shared" si="441"/>
        <v>#DIV/0!</v>
      </c>
      <c r="BY67" s="17">
        <v>0</v>
      </c>
      <c r="BZ67" s="17">
        <v>29</v>
      </c>
      <c r="CA67" s="18" t="e">
        <f t="shared" si="442"/>
        <v>#DIV/0!</v>
      </c>
      <c r="CB67" s="108"/>
    </row>
    <row r="68" spans="1:80" s="1" customFormat="1" ht="19.5" customHeight="1">
      <c r="A68" s="180"/>
      <c r="B68" s="116"/>
      <c r="C68" s="83" t="s">
        <v>105</v>
      </c>
      <c r="D68" s="64">
        <v>0</v>
      </c>
      <c r="E68" s="64">
        <v>0</v>
      </c>
      <c r="F68" s="64">
        <f>F67/F66</f>
        <v>1616.6</v>
      </c>
      <c r="G68" s="64">
        <f>G67/G66</f>
        <v>1537.2337662337663</v>
      </c>
      <c r="H68" s="64">
        <f>H67/H66*1000</f>
        <v>1058000</v>
      </c>
      <c r="I68" s="64" t="e">
        <f>I67/I66*1000</f>
        <v>#DIV/0!</v>
      </c>
      <c r="J68" s="64" t="e">
        <f>J67/J66*1000</f>
        <v>#DIV/0!</v>
      </c>
      <c r="K68" s="64">
        <v>0</v>
      </c>
      <c r="L68" s="64">
        <v>0</v>
      </c>
      <c r="M68" s="65"/>
      <c r="N68" s="64" t="e">
        <f>N67/N66*1000</f>
        <v>#DIV/0!</v>
      </c>
      <c r="O68" s="64" t="e">
        <f>O67/O66*1000</f>
        <v>#DIV/0!</v>
      </c>
      <c r="P68" s="65"/>
      <c r="Q68" s="64" t="e">
        <f>Q67/Q66*1000</f>
        <v>#DIV/0!</v>
      </c>
      <c r="R68" s="64" t="e">
        <f>R67/R66*1000</f>
        <v>#DIV/0!</v>
      </c>
      <c r="S68" s="65"/>
      <c r="T68" s="64" t="e">
        <f>T67/T66*1000</f>
        <v>#DIV/0!</v>
      </c>
      <c r="U68" s="64" t="e">
        <f>U67/U66*1000</f>
        <v>#DIV/0!</v>
      </c>
      <c r="V68" s="65"/>
      <c r="W68" s="64" t="e">
        <f>W67/W66*1000</f>
        <v>#DIV/0!</v>
      </c>
      <c r="X68" s="64" t="e">
        <f>X67/X66*1000</f>
        <v>#DIV/0!</v>
      </c>
      <c r="Y68" s="65"/>
      <c r="Z68" s="64" t="e">
        <f>Z67/Z66*1000</f>
        <v>#DIV/0!</v>
      </c>
      <c r="AA68" s="64" t="e">
        <f>AA67/AA66*1000</f>
        <v>#DIV/0!</v>
      </c>
      <c r="AB68" s="65"/>
      <c r="AC68" s="64" t="e">
        <f>AC67/AC66*1000</f>
        <v>#DIV/0!</v>
      </c>
      <c r="AD68" s="64" t="e">
        <f>AD67/AD66*1000</f>
        <v>#DIV/0!</v>
      </c>
      <c r="AE68" s="65"/>
      <c r="AF68" s="64" t="e">
        <f>AF67/AF66*1000</f>
        <v>#DIV/0!</v>
      </c>
      <c r="AG68" s="64" t="e">
        <f>AG67/AG66*1000</f>
        <v>#DIV/0!</v>
      </c>
      <c r="AH68" s="65"/>
      <c r="AI68" s="64" t="e">
        <f>AI67/AI66*1000</f>
        <v>#DIV/0!</v>
      </c>
      <c r="AJ68" s="64" t="e">
        <f>AJ67/AJ66*1000</f>
        <v>#DIV/0!</v>
      </c>
      <c r="AK68" s="65"/>
      <c r="AL68" s="64" t="e">
        <f>AL67/AL66*1000</f>
        <v>#DIV/0!</v>
      </c>
      <c r="AM68" s="64" t="e">
        <f>AM67/AM66*1000</f>
        <v>#DIV/0!</v>
      </c>
      <c r="AN68" s="65"/>
      <c r="AO68" s="64" t="e">
        <f>AO67/AO66*1000</f>
        <v>#DIV/0!</v>
      </c>
      <c r="AP68" s="64" t="e">
        <f>AP67/AP66*1000</f>
        <v>#DIV/0!</v>
      </c>
      <c r="AQ68" s="65"/>
      <c r="AR68" s="64" t="e">
        <f>AR67/AR66*1000</f>
        <v>#DIV/0!</v>
      </c>
      <c r="AS68" s="64" t="e">
        <f>AS67/AS66*1000</f>
        <v>#DIV/0!</v>
      </c>
      <c r="AT68" s="65"/>
      <c r="AU68" s="64" t="e">
        <f>AU67/AU66*1000</f>
        <v>#DIV/0!</v>
      </c>
      <c r="AV68" s="64" t="e">
        <f>AV67/AV66*1000</f>
        <v>#DIV/0!</v>
      </c>
      <c r="AW68" s="65"/>
      <c r="AX68" s="64" t="e">
        <f>AX67/AX66*1000</f>
        <v>#DIV/0!</v>
      </c>
      <c r="AY68" s="64" t="e">
        <f>AY67/AY66*1000</f>
        <v>#DIV/0!</v>
      </c>
      <c r="AZ68" s="65"/>
      <c r="BA68" s="64" t="e">
        <f>BA67/BA66*1000</f>
        <v>#DIV/0!</v>
      </c>
      <c r="BB68" s="64" t="e">
        <f>BB67/BB66*1000</f>
        <v>#DIV/0!</v>
      </c>
      <c r="BC68" s="65"/>
      <c r="BD68" s="64" t="e">
        <f>BD67/BD66*1000</f>
        <v>#DIV/0!</v>
      </c>
      <c r="BE68" s="64" t="e">
        <f>BE67/BE66*1000</f>
        <v>#DIV/0!</v>
      </c>
      <c r="BF68" s="65"/>
      <c r="BG68" s="64" t="e">
        <f>BG67/BG66*1000</f>
        <v>#DIV/0!</v>
      </c>
      <c r="BH68" s="64" t="e">
        <f>BH67/BH66*1000</f>
        <v>#DIV/0!</v>
      </c>
      <c r="BI68" s="65"/>
      <c r="BJ68" s="64" t="e">
        <f>BJ67/BJ66*1000</f>
        <v>#DIV/0!</v>
      </c>
      <c r="BK68" s="64" t="e">
        <f>BK67/BK66*1000</f>
        <v>#DIV/0!</v>
      </c>
      <c r="BL68" s="65"/>
      <c r="BM68" s="64" t="e">
        <f>BM67/BM66*1000</f>
        <v>#DIV/0!</v>
      </c>
      <c r="BN68" s="64" t="e">
        <f>BN67/BN66*1000</f>
        <v>#DIV/0!</v>
      </c>
      <c r="BO68" s="65"/>
      <c r="BP68" s="64" t="e">
        <f>BP67/BP66*1000</f>
        <v>#DIV/0!</v>
      </c>
      <c r="BQ68" s="64" t="e">
        <f>BQ67/BQ66*1000</f>
        <v>#DIV/0!</v>
      </c>
      <c r="BR68" s="65"/>
      <c r="BS68" s="64" t="e">
        <f>BS67/BS66*1000</f>
        <v>#DIV/0!</v>
      </c>
      <c r="BT68" s="64" t="e">
        <f>BT67/BT66*1000</f>
        <v>#DIV/0!</v>
      </c>
      <c r="BU68" s="65"/>
      <c r="BV68" s="64" t="e">
        <f>BV67/BV66*1000</f>
        <v>#DIV/0!</v>
      </c>
      <c r="BW68" s="64" t="e">
        <f>BW67/BW66*1000</f>
        <v>#DIV/0!</v>
      </c>
      <c r="BX68" s="65"/>
      <c r="BY68" s="64" t="e">
        <f>BY67/BY66*1000</f>
        <v>#DIV/0!</v>
      </c>
      <c r="BZ68" s="64" t="e">
        <f>BZ67/BZ66*1000</f>
        <v>#DIV/0!</v>
      </c>
      <c r="CA68" s="65"/>
      <c r="CB68" s="108"/>
    </row>
    <row r="69" spans="1:80" s="1" customFormat="1" ht="19.5" customHeight="1">
      <c r="A69" s="178" t="s">
        <v>10</v>
      </c>
      <c r="B69" s="133" t="s">
        <v>134</v>
      </c>
      <c r="C69" s="81" t="s">
        <v>42</v>
      </c>
      <c r="D69" s="66">
        <v>458831.3</v>
      </c>
      <c r="E69" s="66">
        <v>100297</v>
      </c>
      <c r="F69" s="66">
        <v>12587</v>
      </c>
      <c r="G69" s="66">
        <v>16412</v>
      </c>
      <c r="H69" s="66">
        <f>3157+18525-1</f>
        <v>21681</v>
      </c>
      <c r="I69" s="66">
        <v>8211</v>
      </c>
      <c r="J69" s="66">
        <v>5004</v>
      </c>
      <c r="K69" s="66">
        <v>1345</v>
      </c>
      <c r="L69" s="66">
        <v>13</v>
      </c>
      <c r="M69" s="15">
        <f t="shared" si="0"/>
        <v>-99.033457249070636</v>
      </c>
      <c r="N69" s="63">
        <f>Q69-K69</f>
        <v>0</v>
      </c>
      <c r="O69" s="63">
        <f>R69-L69</f>
        <v>682</v>
      </c>
      <c r="P69" s="15" t="e">
        <f t="shared" si="1"/>
        <v>#DIV/0!</v>
      </c>
      <c r="Q69" s="66">
        <v>1345</v>
      </c>
      <c r="R69" s="66">
        <v>695</v>
      </c>
      <c r="S69" s="15">
        <f t="shared" si="2"/>
        <v>-48.3271375464684</v>
      </c>
      <c r="T69" s="63">
        <f>W69-Q69</f>
        <v>508</v>
      </c>
      <c r="U69" s="63">
        <f>X69-R69</f>
        <v>309</v>
      </c>
      <c r="V69" s="15">
        <f t="shared" ref="V69:V70" si="443">(U69/T69-1)*100</f>
        <v>-39.173228346456689</v>
      </c>
      <c r="W69" s="66">
        <v>1853</v>
      </c>
      <c r="X69" s="66">
        <v>1004</v>
      </c>
      <c r="Y69" s="15">
        <f t="shared" ref="Y69:Y70" si="444">(X69/W69-1)*100</f>
        <v>-45.817593092282785</v>
      </c>
      <c r="Z69" s="63">
        <f>AC69-W69</f>
        <v>1655</v>
      </c>
      <c r="AA69" s="63">
        <f>AD69-X69</f>
        <v>639</v>
      </c>
      <c r="AB69" s="15">
        <f t="shared" ref="AB69:AB70" si="445">(AA69/Z69-1)*100</f>
        <v>-61.389728096676734</v>
      </c>
      <c r="AC69" s="66">
        <f>3346+162</f>
        <v>3508</v>
      </c>
      <c r="AD69" s="66">
        <v>1643</v>
      </c>
      <c r="AE69" s="15">
        <f t="shared" ref="AE69:AE70" si="446">(AD69/AC69-1)*100</f>
        <v>-53.164196123147093</v>
      </c>
      <c r="AF69" s="63">
        <f>AI69-AC69</f>
        <v>2</v>
      </c>
      <c r="AG69" s="63">
        <f>AJ69-AD69</f>
        <v>0</v>
      </c>
      <c r="AH69" s="15">
        <f t="shared" ref="AH69:AH70" si="447">(AG69/AF69-1)*100</f>
        <v>-100</v>
      </c>
      <c r="AI69" s="66">
        <f>3346+164</f>
        <v>3510</v>
      </c>
      <c r="AJ69" s="66">
        <v>1643</v>
      </c>
      <c r="AK69" s="15">
        <f t="shared" ref="AK69:AK70" si="448">(AJ69/AI69-1)*100</f>
        <v>-53.190883190883184</v>
      </c>
      <c r="AL69" s="63">
        <f>AO69-AI69</f>
        <v>269</v>
      </c>
      <c r="AM69" s="63">
        <f>AP69-AJ69</f>
        <v>651</v>
      </c>
      <c r="AN69" s="15">
        <f t="shared" ref="AN69:AN70" si="449">(AM69/AL69-1)*100</f>
        <v>142.0074349442379</v>
      </c>
      <c r="AO69" s="66">
        <f>3614+165</f>
        <v>3779</v>
      </c>
      <c r="AP69" s="66">
        <v>2294</v>
      </c>
      <c r="AQ69" s="15">
        <f t="shared" ref="AQ69:AQ70" si="450">(AP69/AO69-1)*100</f>
        <v>-39.296110082032286</v>
      </c>
      <c r="AR69" s="63">
        <f>AU69-AO69</f>
        <v>534</v>
      </c>
      <c r="AS69" s="63">
        <f>AV69-AP69</f>
        <v>1</v>
      </c>
      <c r="AT69" s="15">
        <f t="shared" ref="AT69:AT70" si="451">(AS69/AR69-1)*100</f>
        <v>-99.812734082397</v>
      </c>
      <c r="AU69" s="66">
        <f>4148+165</f>
        <v>4313</v>
      </c>
      <c r="AV69" s="66">
        <v>2295</v>
      </c>
      <c r="AW69" s="15">
        <f t="shared" ref="AW69:AW70" si="452">(AV69/AU69-1)*100</f>
        <v>-46.788778112682586</v>
      </c>
      <c r="AX69" s="63">
        <f>BA69-AU69</f>
        <v>278</v>
      </c>
      <c r="AY69" s="63">
        <f>BB69-AV69</f>
        <v>936</v>
      </c>
      <c r="AZ69" s="15">
        <f t="shared" ref="AZ69:AZ70" si="453">(AY69/AX69-1)*100</f>
        <v>236.69064748201438</v>
      </c>
      <c r="BA69" s="66">
        <v>4591</v>
      </c>
      <c r="BB69" s="66">
        <v>3231</v>
      </c>
      <c r="BC69" s="15">
        <f t="shared" ref="BC69:BC70" si="454">(BB69/BA69-1)*100</f>
        <v>-29.623175778697451</v>
      </c>
      <c r="BD69" s="63">
        <f>BG69-BA69</f>
        <v>2</v>
      </c>
      <c r="BE69" s="63">
        <f>BH69-BB69</f>
        <v>318</v>
      </c>
      <c r="BF69" s="15">
        <f t="shared" ref="BF69:BF70" si="455">(BE69/BD69-1)*100</f>
        <v>15800</v>
      </c>
      <c r="BG69" s="66">
        <f>4427+166</f>
        <v>4593</v>
      </c>
      <c r="BH69" s="66">
        <v>3549</v>
      </c>
      <c r="BI69" s="15">
        <f t="shared" ref="BI69:BI70" si="456">(BH69/BG69-1)*100</f>
        <v>-22.730241672109731</v>
      </c>
      <c r="BJ69" s="63">
        <f>BM69-BG69</f>
        <v>275</v>
      </c>
      <c r="BK69" s="63">
        <f>BN69-BH69</f>
        <v>11311</v>
      </c>
      <c r="BL69" s="15">
        <f t="shared" ref="BL69:BL70" si="457">(BK69/BJ69-1)*100</f>
        <v>4013.0909090909095</v>
      </c>
      <c r="BM69" s="66">
        <v>4868</v>
      </c>
      <c r="BN69" s="66">
        <v>14860</v>
      </c>
      <c r="BO69" s="15">
        <f t="shared" ref="BO69:BO70" si="458">(BN69/BM69-1)*100</f>
        <v>205.25883319638453</v>
      </c>
      <c r="BP69" s="63">
        <f>BS69-BM69</f>
        <v>136</v>
      </c>
      <c r="BQ69" s="63">
        <f>BT69-BN69</f>
        <v>386</v>
      </c>
      <c r="BR69" s="15">
        <f t="shared" ref="BR69:BR70" si="459">(BQ69/BP69-1)*100</f>
        <v>183.82352941176472</v>
      </c>
      <c r="BS69" s="66">
        <v>5004</v>
      </c>
      <c r="BT69" s="66">
        <v>15246</v>
      </c>
      <c r="BU69" s="15">
        <f t="shared" ref="BU69:BU70" si="460">(BT69/BS69-1)*100</f>
        <v>204.67625899280577</v>
      </c>
      <c r="BV69" s="63">
        <f>BY69-BS69</f>
        <v>0</v>
      </c>
      <c r="BW69" s="63">
        <f>BZ69-BT69</f>
        <v>17</v>
      </c>
      <c r="BX69" s="15" t="e">
        <f t="shared" ref="BX69:BX70" si="461">(BW69/BV69-1)*100</f>
        <v>#DIV/0!</v>
      </c>
      <c r="BY69" s="66">
        <v>5004</v>
      </c>
      <c r="BZ69" s="66">
        <v>15263</v>
      </c>
      <c r="CA69" s="15">
        <f t="shared" ref="CA69:CA70" si="462">(BZ69/BY69-1)*100</f>
        <v>205.01598721023183</v>
      </c>
      <c r="CB69" s="108"/>
    </row>
    <row r="70" spans="1:80" s="1" customFormat="1" ht="19.5" customHeight="1">
      <c r="A70" s="187"/>
      <c r="B70" s="181"/>
      <c r="C70" s="82" t="s">
        <v>104</v>
      </c>
      <c r="D70" s="17">
        <v>68869728</v>
      </c>
      <c r="E70" s="17">
        <v>43211237</v>
      </c>
      <c r="F70" s="17">
        <v>956483</v>
      </c>
      <c r="G70" s="17">
        <v>367754</v>
      </c>
      <c r="H70" s="17">
        <f>119141+40399</f>
        <v>159540</v>
      </c>
      <c r="I70" s="17">
        <f>357218+80340</f>
        <v>437558</v>
      </c>
      <c r="J70" s="17">
        <f>242454+16224</f>
        <v>258678</v>
      </c>
      <c r="K70" s="17">
        <f>112742+6840</f>
        <v>119582</v>
      </c>
      <c r="L70" s="17">
        <v>9452</v>
      </c>
      <c r="M70" s="18">
        <f t="shared" si="0"/>
        <v>-92.095800371293336</v>
      </c>
      <c r="N70" s="17">
        <f>Q70-K70</f>
        <v>0</v>
      </c>
      <c r="O70" s="17">
        <f>R70-L70</f>
        <v>3592</v>
      </c>
      <c r="P70" s="18" t="e">
        <f t="shared" si="1"/>
        <v>#DIV/0!</v>
      </c>
      <c r="Q70" s="17">
        <v>119582</v>
      </c>
      <c r="R70" s="17">
        <v>13044</v>
      </c>
      <c r="S70" s="18">
        <f t="shared" si="2"/>
        <v>-89.092003813282943</v>
      </c>
      <c r="T70" s="17">
        <f>W70-Q70</f>
        <v>11181</v>
      </c>
      <c r="U70" s="17">
        <f>X70-R70</f>
        <v>1679</v>
      </c>
      <c r="V70" s="18">
        <f t="shared" si="443"/>
        <v>-84.983454073875336</v>
      </c>
      <c r="W70" s="17">
        <v>130763</v>
      </c>
      <c r="X70" s="17">
        <v>14723</v>
      </c>
      <c r="Y70" s="18">
        <f t="shared" si="444"/>
        <v>-88.740698821532078</v>
      </c>
      <c r="Z70" s="17">
        <f>AC70-W70</f>
        <v>17311</v>
      </c>
      <c r="AA70" s="17">
        <f>AD70-X70</f>
        <v>6819</v>
      </c>
      <c r="AB70" s="18">
        <f t="shared" si="445"/>
        <v>-60.608861417595747</v>
      </c>
      <c r="AC70" s="17">
        <f>139983+8091</f>
        <v>148074</v>
      </c>
      <c r="AD70" s="17">
        <v>21542</v>
      </c>
      <c r="AE70" s="18">
        <f t="shared" si="446"/>
        <v>-85.451868660264466</v>
      </c>
      <c r="AF70" s="17">
        <f>AI70-AC70</f>
        <v>6556</v>
      </c>
      <c r="AG70" s="17">
        <f>AJ70-AD70</f>
        <v>0</v>
      </c>
      <c r="AH70" s="18">
        <f t="shared" si="447"/>
        <v>-100</v>
      </c>
      <c r="AI70" s="17">
        <f>139983+14647</f>
        <v>154630</v>
      </c>
      <c r="AJ70" s="17">
        <v>21542</v>
      </c>
      <c r="AK70" s="18">
        <f t="shared" si="448"/>
        <v>-86.068680075017781</v>
      </c>
      <c r="AL70" s="17">
        <f>AO70-AI70</f>
        <v>5629</v>
      </c>
      <c r="AM70" s="17">
        <f>AP70-AJ70</f>
        <v>67265</v>
      </c>
      <c r="AN70" s="18">
        <f t="shared" si="449"/>
        <v>1094.9724640255818</v>
      </c>
      <c r="AO70" s="17">
        <f>144517+15742</f>
        <v>160259</v>
      </c>
      <c r="AP70" s="17">
        <f>86086+2721</f>
        <v>88807</v>
      </c>
      <c r="AQ70" s="18">
        <f t="shared" si="450"/>
        <v>-44.585327501107585</v>
      </c>
      <c r="AR70" s="17">
        <f>AU70-AO70</f>
        <v>65256</v>
      </c>
      <c r="AS70" s="17">
        <f>AV70-AP70</f>
        <v>0</v>
      </c>
      <c r="AT70" s="18">
        <f t="shared" si="451"/>
        <v>-100</v>
      </c>
      <c r="AU70" s="17">
        <f>15742+209773</f>
        <v>225515</v>
      </c>
      <c r="AV70" s="17">
        <f>86086+2721</f>
        <v>88807</v>
      </c>
      <c r="AW70" s="18">
        <f t="shared" si="452"/>
        <v>-60.62035784759329</v>
      </c>
      <c r="AX70" s="17">
        <f>BA70-AU70</f>
        <v>9575</v>
      </c>
      <c r="AY70" s="17">
        <f>BB70-AV70</f>
        <v>90349</v>
      </c>
      <c r="AZ70" s="18">
        <f t="shared" si="453"/>
        <v>843.59268929503912</v>
      </c>
      <c r="BA70" s="17">
        <f>219348+15742</f>
        <v>235090</v>
      </c>
      <c r="BB70" s="17">
        <f>172163+6993</f>
        <v>179156</v>
      </c>
      <c r="BC70" s="18">
        <f t="shared" si="454"/>
        <v>-23.792590071887364</v>
      </c>
      <c r="BD70" s="17">
        <f>BG70-BA70</f>
        <v>482</v>
      </c>
      <c r="BE70" s="17">
        <f>BH70-BB70</f>
        <v>2282</v>
      </c>
      <c r="BF70" s="18">
        <f t="shared" si="455"/>
        <v>373.44398340248961</v>
      </c>
      <c r="BG70" s="17">
        <f>219348+16224</f>
        <v>235572</v>
      </c>
      <c r="BH70" s="17">
        <f>174445+6993</f>
        <v>181438</v>
      </c>
      <c r="BI70" s="18">
        <f t="shared" si="456"/>
        <v>-22.979810843393956</v>
      </c>
      <c r="BJ70" s="17">
        <f>BM70-BG70</f>
        <v>22311</v>
      </c>
      <c r="BK70" s="17">
        <f>BN70-BH70</f>
        <v>220574</v>
      </c>
      <c r="BL70" s="18">
        <f t="shared" si="457"/>
        <v>888.63340952893191</v>
      </c>
      <c r="BM70" s="17">
        <f>241659+16224</f>
        <v>257883</v>
      </c>
      <c r="BN70" s="17">
        <v>402012</v>
      </c>
      <c r="BO70" s="18">
        <f t="shared" si="458"/>
        <v>55.889298635427686</v>
      </c>
      <c r="BP70" s="17">
        <f>BS70-BM70</f>
        <v>795</v>
      </c>
      <c r="BQ70" s="17">
        <f>BT70-BN70</f>
        <v>2914</v>
      </c>
      <c r="BR70" s="18">
        <f t="shared" si="459"/>
        <v>266.54088050314465</v>
      </c>
      <c r="BS70" s="17">
        <f>242454+16224</f>
        <v>258678</v>
      </c>
      <c r="BT70" s="17">
        <v>404926</v>
      </c>
      <c r="BU70" s="18">
        <f t="shared" si="460"/>
        <v>56.536698134360087</v>
      </c>
      <c r="BV70" s="17">
        <f>BY70-BS70</f>
        <v>0</v>
      </c>
      <c r="BW70" s="17">
        <f>BZ70-BT70</f>
        <v>13830</v>
      </c>
      <c r="BX70" s="18" t="e">
        <f t="shared" si="461"/>
        <v>#DIV/0!</v>
      </c>
      <c r="BY70" s="17">
        <f>242454+16224</f>
        <v>258678</v>
      </c>
      <c r="BZ70" s="17">
        <f>411763+6993</f>
        <v>418756</v>
      </c>
      <c r="CA70" s="18">
        <f t="shared" si="462"/>
        <v>61.883113368744148</v>
      </c>
      <c r="CB70" s="108"/>
    </row>
    <row r="71" spans="1:80" s="1" customFormat="1" ht="19.5" customHeight="1">
      <c r="A71" s="188"/>
      <c r="B71" s="182"/>
      <c r="C71" s="83" t="s">
        <v>105</v>
      </c>
      <c r="D71" s="64">
        <f t="shared" ref="D71:L71" si="463">D70/D69</f>
        <v>150.09814718394321</v>
      </c>
      <c r="E71" s="64">
        <f t="shared" si="463"/>
        <v>430.83279659411545</v>
      </c>
      <c r="F71" s="64">
        <f t="shared" si="463"/>
        <v>75.989751330738059</v>
      </c>
      <c r="G71" s="64">
        <f t="shared" si="463"/>
        <v>22.407628564465025</v>
      </c>
      <c r="H71" s="64">
        <f>H70/H69</f>
        <v>7.358516673585167</v>
      </c>
      <c r="I71" s="64">
        <f>I70/I69</f>
        <v>53.289246133235906</v>
      </c>
      <c r="J71" s="64">
        <f>J70/J69</f>
        <v>51.694244604316545</v>
      </c>
      <c r="K71" s="64">
        <f t="shared" si="463"/>
        <v>88.908550185873608</v>
      </c>
      <c r="L71" s="64">
        <f t="shared" si="463"/>
        <v>727.07692307692309</v>
      </c>
      <c r="M71" s="65"/>
      <c r="N71" s="64" t="e">
        <f>N70/N69</f>
        <v>#DIV/0!</v>
      </c>
      <c r="O71" s="64">
        <f>O70/O69</f>
        <v>5.2668621700879763</v>
      </c>
      <c r="P71" s="65"/>
      <c r="Q71" s="64">
        <f>Q70/Q69</f>
        <v>88.908550185873608</v>
      </c>
      <c r="R71" s="64">
        <f>R70/R69</f>
        <v>18.768345323741006</v>
      </c>
      <c r="S71" s="65"/>
      <c r="T71" s="64">
        <f>T70/T69</f>
        <v>22.009842519685041</v>
      </c>
      <c r="U71" s="64">
        <f>U70/U69</f>
        <v>5.433656957928803</v>
      </c>
      <c r="V71" s="65"/>
      <c r="W71" s="64">
        <f>W70/W69</f>
        <v>70.56826767404209</v>
      </c>
      <c r="X71" s="64">
        <f>X70/X69</f>
        <v>14.664342629482071</v>
      </c>
      <c r="Y71" s="65"/>
      <c r="Z71" s="64">
        <f>Z70/Z69</f>
        <v>10.459818731117824</v>
      </c>
      <c r="AA71" s="64">
        <f>AA70/AA69</f>
        <v>10.671361502347418</v>
      </c>
      <c r="AB71" s="65"/>
      <c r="AC71" s="64">
        <f>AC70/AC69</f>
        <v>42.210376282782214</v>
      </c>
      <c r="AD71" s="64">
        <f>AD70/AD69</f>
        <v>13.111381618989654</v>
      </c>
      <c r="AE71" s="65"/>
      <c r="AF71" s="64">
        <f>AF70/AF69</f>
        <v>3278</v>
      </c>
      <c r="AG71" s="64" t="e">
        <f>AG70/AG69</f>
        <v>#DIV/0!</v>
      </c>
      <c r="AH71" s="65"/>
      <c r="AI71" s="64">
        <f>AI70/AI69</f>
        <v>44.054131054131055</v>
      </c>
      <c r="AJ71" s="64">
        <f>AJ70/AJ69</f>
        <v>13.111381618989654</v>
      </c>
      <c r="AK71" s="65"/>
      <c r="AL71" s="64">
        <f>AL70/AL69</f>
        <v>20.925650557620816</v>
      </c>
      <c r="AM71" s="64">
        <f>AM70/AM69</f>
        <v>103.32565284178187</v>
      </c>
      <c r="AN71" s="65"/>
      <c r="AO71" s="64">
        <f>AO70/AO69</f>
        <v>42.407779835935436</v>
      </c>
      <c r="AP71" s="64">
        <f>AP70/AP69</f>
        <v>38.712728857890149</v>
      </c>
      <c r="AQ71" s="65"/>
      <c r="AR71" s="64">
        <f>AR70/AR69</f>
        <v>122.20224719101124</v>
      </c>
      <c r="AS71" s="64">
        <f>AS70/AS69</f>
        <v>0</v>
      </c>
      <c r="AT71" s="65"/>
      <c r="AU71" s="64">
        <f>AU70/AU69</f>
        <v>52.287271041038721</v>
      </c>
      <c r="AV71" s="64">
        <f>AV70/AV69</f>
        <v>38.6958605664488</v>
      </c>
      <c r="AW71" s="65"/>
      <c r="AX71" s="64">
        <f>AX70/AX69</f>
        <v>34.442446043165468</v>
      </c>
      <c r="AY71" s="64">
        <f>AY70/AY69</f>
        <v>96.526709401709397</v>
      </c>
      <c r="AZ71" s="65"/>
      <c r="BA71" s="64">
        <f>BA70/BA69</f>
        <v>51.206708778043996</v>
      </c>
      <c r="BB71" s="64">
        <f>BB70/BB69</f>
        <v>55.449086969978332</v>
      </c>
      <c r="BC71" s="65"/>
      <c r="BD71" s="64">
        <f>BD70/BD69</f>
        <v>241</v>
      </c>
      <c r="BE71" s="64">
        <f>BE70/BE69</f>
        <v>7.1761006289308176</v>
      </c>
      <c r="BF71" s="65"/>
      <c r="BG71" s="64">
        <f>BG70/BG69</f>
        <v>51.289353363814499</v>
      </c>
      <c r="BH71" s="64">
        <f>BH70/BH69</f>
        <v>51.123696816004511</v>
      </c>
      <c r="BI71" s="65"/>
      <c r="BJ71" s="64">
        <f>BJ70/BJ69</f>
        <v>81.130909090909086</v>
      </c>
      <c r="BK71" s="64">
        <f>BK70/BK69</f>
        <v>19.500839890372205</v>
      </c>
      <c r="BL71" s="65"/>
      <c r="BM71" s="64">
        <f>BM70/BM69</f>
        <v>52.975143796220216</v>
      </c>
      <c r="BN71" s="64">
        <f>BN70/BN69</f>
        <v>27.053297442799462</v>
      </c>
      <c r="BO71" s="65"/>
      <c r="BP71" s="64">
        <f>BP70/BP69</f>
        <v>5.8455882352941178</v>
      </c>
      <c r="BQ71" s="64">
        <f>BQ70/BQ69</f>
        <v>7.5492227979274613</v>
      </c>
      <c r="BR71" s="65"/>
      <c r="BS71" s="64">
        <f>BS70/BS69</f>
        <v>51.694244604316545</v>
      </c>
      <c r="BT71" s="64">
        <f>BT70/BT69</f>
        <v>26.559491014036468</v>
      </c>
      <c r="BU71" s="65"/>
      <c r="BV71" s="64" t="e">
        <f>BV70/BV69</f>
        <v>#DIV/0!</v>
      </c>
      <c r="BW71" s="64">
        <f>BW70/BW69</f>
        <v>813.52941176470586</v>
      </c>
      <c r="BX71" s="65"/>
      <c r="BY71" s="64">
        <f>BY70/BY69</f>
        <v>51.694244604316545</v>
      </c>
      <c r="BZ71" s="64">
        <f>BZ70/BZ69</f>
        <v>27.436021751949159</v>
      </c>
      <c r="CA71" s="65"/>
      <c r="CB71" s="108"/>
    </row>
    <row r="72" spans="1:80" s="1" customFormat="1" ht="19.5" customHeight="1">
      <c r="A72" s="183" t="s">
        <v>156</v>
      </c>
      <c r="B72" s="133">
        <v>8113</v>
      </c>
      <c r="C72" s="84" t="s">
        <v>42</v>
      </c>
      <c r="D72" s="66">
        <v>254017.4</v>
      </c>
      <c r="E72" s="66">
        <v>467280</v>
      </c>
      <c r="F72" s="66">
        <v>520154</v>
      </c>
      <c r="G72" s="66">
        <v>518592</v>
      </c>
      <c r="H72" s="70">
        <v>550893</v>
      </c>
      <c r="I72" s="70">
        <v>511537</v>
      </c>
      <c r="J72" s="70">
        <v>433813</v>
      </c>
      <c r="K72" s="66">
        <v>33155</v>
      </c>
      <c r="L72" s="66">
        <v>44705</v>
      </c>
      <c r="M72" s="71">
        <f t="shared" si="0"/>
        <v>34.836374604132118</v>
      </c>
      <c r="N72" s="70">
        <f>Q72-K72</f>
        <v>23440</v>
      </c>
      <c r="O72" s="70">
        <f>R72-L72</f>
        <v>51796</v>
      </c>
      <c r="P72" s="71">
        <f t="shared" si="1"/>
        <v>120.97269624573377</v>
      </c>
      <c r="Q72" s="70">
        <v>56595</v>
      </c>
      <c r="R72" s="70">
        <v>96501</v>
      </c>
      <c r="S72" s="71">
        <f t="shared" si="2"/>
        <v>70.511529287039494</v>
      </c>
      <c r="T72" s="70">
        <f>W72-Q72</f>
        <v>27755</v>
      </c>
      <c r="U72" s="70">
        <f>X72-R72</f>
        <v>53523</v>
      </c>
      <c r="V72" s="71">
        <f t="shared" ref="V72:V73" si="464">(U72/T72-1)*100</f>
        <v>92.84092956224103</v>
      </c>
      <c r="W72" s="70">
        <v>84350</v>
      </c>
      <c r="X72" s="70">
        <v>150024</v>
      </c>
      <c r="Y72" s="71">
        <f t="shared" ref="Y72:Y73" si="465">(X72/W72-1)*100</f>
        <v>77.858921161825734</v>
      </c>
      <c r="Z72" s="70">
        <f>AC72-W72</f>
        <v>64630</v>
      </c>
      <c r="AA72" s="70">
        <f>AD72-X72</f>
        <v>32258</v>
      </c>
      <c r="AB72" s="71">
        <f t="shared" ref="AB72:AB73" si="466">(AA72/Z72-1)*100</f>
        <v>-50.088194336995208</v>
      </c>
      <c r="AC72" s="70">
        <v>148980</v>
      </c>
      <c r="AD72" s="70">
        <v>182282</v>
      </c>
      <c r="AE72" s="71">
        <f t="shared" ref="AE72:AE73" si="467">(AD72/AC72-1)*100</f>
        <v>22.353336018257487</v>
      </c>
      <c r="AF72" s="70">
        <f>AI72-AC72</f>
        <v>28276</v>
      </c>
      <c r="AG72" s="70">
        <f>AJ72-AD72</f>
        <v>43237</v>
      </c>
      <c r="AH72" s="71">
        <f t="shared" ref="AH72:AH73" si="468">(AG72/AF72-1)*100</f>
        <v>52.910595558070447</v>
      </c>
      <c r="AI72" s="70">
        <v>177256</v>
      </c>
      <c r="AJ72" s="70">
        <v>225519</v>
      </c>
      <c r="AK72" s="71">
        <f t="shared" ref="AK72:AK73" si="469">(AJ72/AI72-1)*100</f>
        <v>27.227851243399371</v>
      </c>
      <c r="AL72" s="70">
        <f>AO72-AI72</f>
        <v>39445</v>
      </c>
      <c r="AM72" s="70">
        <f>AP72-AJ72</f>
        <v>35180</v>
      </c>
      <c r="AN72" s="71">
        <f t="shared" ref="AN72:AN73" si="470">(AM72/AL72-1)*100</f>
        <v>-10.812523767270887</v>
      </c>
      <c r="AO72" s="70">
        <v>216701</v>
      </c>
      <c r="AP72" s="70">
        <v>260699</v>
      </c>
      <c r="AQ72" s="71">
        <f t="shared" ref="AQ72:AQ73" si="471">(AP72/AO72-1)*100</f>
        <v>20.303551898699123</v>
      </c>
      <c r="AR72" s="70">
        <f>AU72-AO72</f>
        <v>31722</v>
      </c>
      <c r="AS72" s="70">
        <f>AV72-AP72</f>
        <v>45050</v>
      </c>
      <c r="AT72" s="71">
        <f t="shared" ref="AT72:AT73" si="472">(AS72/AR72-1)*100</f>
        <v>42.015005359056801</v>
      </c>
      <c r="AU72" s="70">
        <v>248423</v>
      </c>
      <c r="AV72" s="70">
        <v>305749</v>
      </c>
      <c r="AW72" s="71">
        <f t="shared" ref="AW72:AW73" si="473">(AV72/AU72-1)*100</f>
        <v>23.075963175712388</v>
      </c>
      <c r="AX72" s="70">
        <f>BA72-AU72</f>
        <v>46643</v>
      </c>
      <c r="AY72" s="70">
        <f>BB72-AV72</f>
        <v>39204</v>
      </c>
      <c r="AZ72" s="71">
        <f t="shared" ref="AZ72:AZ73" si="474">(AY72/AX72-1)*100</f>
        <v>-15.948802607036427</v>
      </c>
      <c r="BA72" s="70">
        <v>295066</v>
      </c>
      <c r="BB72" s="70">
        <v>344953</v>
      </c>
      <c r="BC72" s="71">
        <f t="shared" ref="BC72:BC73" si="475">(BB72/BA72-1)*100</f>
        <v>16.907064860065212</v>
      </c>
      <c r="BD72" s="70">
        <f>BG72-BA72</f>
        <v>23829</v>
      </c>
      <c r="BE72" s="70">
        <f>BH72-BB72</f>
        <v>37733</v>
      </c>
      <c r="BF72" s="71">
        <f t="shared" ref="BF72:BF73" si="476">(BE72/BD72-1)*100</f>
        <v>58.349070460363414</v>
      </c>
      <c r="BG72" s="70">
        <v>318895</v>
      </c>
      <c r="BH72" s="70">
        <v>382686</v>
      </c>
      <c r="BI72" s="71">
        <f t="shared" ref="BI72:BI73" si="477">(BH72/BG72-1)*100</f>
        <v>20.003762994088969</v>
      </c>
      <c r="BJ72" s="70">
        <f>BM72-BG72</f>
        <v>36323</v>
      </c>
      <c r="BK72" s="70">
        <f>BN72-BH72</f>
        <v>35697</v>
      </c>
      <c r="BL72" s="71">
        <f t="shared" ref="BL72:BL73" si="478">(BK72/BJ72-1)*100</f>
        <v>-1.7234259284750753</v>
      </c>
      <c r="BM72" s="70">
        <v>355218</v>
      </c>
      <c r="BN72" s="70">
        <v>418383</v>
      </c>
      <c r="BO72" s="71">
        <f t="shared" ref="BO72:BO73" si="479">(BN72/BM72-1)*100</f>
        <v>17.782038072394979</v>
      </c>
      <c r="BP72" s="70">
        <f>BS72-BM72</f>
        <v>46503</v>
      </c>
      <c r="BQ72" s="70">
        <f>BT72-BN72</f>
        <v>112506</v>
      </c>
      <c r="BR72" s="71">
        <f t="shared" ref="BR72:BR73" si="480">(BQ72/BP72-1)*100</f>
        <v>141.93277853041741</v>
      </c>
      <c r="BS72" s="70">
        <v>401721</v>
      </c>
      <c r="BT72" s="70">
        <v>530889</v>
      </c>
      <c r="BU72" s="71">
        <f t="shared" ref="BU72:BU73" si="481">(BT72/BS72-1)*100</f>
        <v>32.153658882657375</v>
      </c>
      <c r="BV72" s="70">
        <f>BY72-BS72</f>
        <v>32092</v>
      </c>
      <c r="BW72" s="70">
        <f>BZ72-BT72</f>
        <v>110576</v>
      </c>
      <c r="BX72" s="71">
        <f t="shared" ref="BX72:BX73" si="482">(BW72/BV72-1)*100</f>
        <v>244.55939174872242</v>
      </c>
      <c r="BY72" s="70">
        <v>433813</v>
      </c>
      <c r="BZ72" s="70">
        <v>641465</v>
      </c>
      <c r="CA72" s="71">
        <f t="shared" ref="CA72:CA73" si="483">(BZ72/BY72-1)*100</f>
        <v>47.866707544494979</v>
      </c>
      <c r="CB72" s="108"/>
    </row>
    <row r="73" spans="1:80" s="1" customFormat="1" ht="19.5" customHeight="1">
      <c r="A73" s="187"/>
      <c r="B73" s="181"/>
      <c r="C73" s="82" t="s">
        <v>104</v>
      </c>
      <c r="D73" s="17">
        <v>16181672</v>
      </c>
      <c r="E73" s="17">
        <v>27173923</v>
      </c>
      <c r="F73" s="17">
        <v>35617379</v>
      </c>
      <c r="G73" s="17">
        <v>35853961</v>
      </c>
      <c r="H73" s="17">
        <v>36574103</v>
      </c>
      <c r="I73" s="17">
        <v>35226887</v>
      </c>
      <c r="J73" s="17">
        <v>29955199</v>
      </c>
      <c r="K73" s="17">
        <v>2336936</v>
      </c>
      <c r="L73" s="17">
        <v>2754944</v>
      </c>
      <c r="M73" s="18">
        <f t="shared" si="0"/>
        <v>17.887011026403798</v>
      </c>
      <c r="N73" s="17">
        <f>Q73-K73</f>
        <v>1845065</v>
      </c>
      <c r="O73" s="17">
        <f>R73-L73</f>
        <v>2853511</v>
      </c>
      <c r="P73" s="18">
        <f t="shared" si="1"/>
        <v>54.656394219173855</v>
      </c>
      <c r="Q73" s="17">
        <v>4182001</v>
      </c>
      <c r="R73" s="17">
        <v>5608455</v>
      </c>
      <c r="S73" s="18">
        <f t="shared" si="2"/>
        <v>34.109365349267009</v>
      </c>
      <c r="T73" s="17">
        <f>W73-Q73</f>
        <v>2200378</v>
      </c>
      <c r="U73" s="17">
        <f>X73-R73</f>
        <v>3020485</v>
      </c>
      <c r="V73" s="18">
        <f t="shared" si="464"/>
        <v>37.271187041499232</v>
      </c>
      <c r="W73" s="17">
        <v>6382379</v>
      </c>
      <c r="X73" s="17">
        <v>8628940</v>
      </c>
      <c r="Y73" s="18">
        <f t="shared" si="465"/>
        <v>35.199429554402826</v>
      </c>
      <c r="Z73" s="17">
        <f>AC73-W73</f>
        <v>3952597</v>
      </c>
      <c r="AA73" s="17">
        <f>AD73-X73</f>
        <v>2479279</v>
      </c>
      <c r="AB73" s="18">
        <f t="shared" si="466"/>
        <v>-37.274682948957363</v>
      </c>
      <c r="AC73" s="17">
        <v>10334976</v>
      </c>
      <c r="AD73" s="17">
        <v>11108219</v>
      </c>
      <c r="AE73" s="18">
        <f t="shared" si="467"/>
        <v>7.4818074081642871</v>
      </c>
      <c r="AF73" s="17">
        <f>AI73-AC73</f>
        <v>2287527</v>
      </c>
      <c r="AG73" s="17">
        <f>AJ73-AD73</f>
        <v>3273742</v>
      </c>
      <c r="AH73" s="18">
        <f t="shared" si="468"/>
        <v>43.112715172323647</v>
      </c>
      <c r="AI73" s="17">
        <v>12622503</v>
      </c>
      <c r="AJ73" s="17">
        <v>14381961</v>
      </c>
      <c r="AK73" s="18">
        <f t="shared" si="469"/>
        <v>13.939057887330275</v>
      </c>
      <c r="AL73" s="17">
        <f>AO73-AI73</f>
        <v>2713435</v>
      </c>
      <c r="AM73" s="17">
        <f>AP73-AJ73</f>
        <v>2786262</v>
      </c>
      <c r="AN73" s="18">
        <f t="shared" si="470"/>
        <v>2.6839412036772536</v>
      </c>
      <c r="AO73" s="17">
        <v>15335938</v>
      </c>
      <c r="AP73" s="17">
        <v>17168223</v>
      </c>
      <c r="AQ73" s="18">
        <f t="shared" si="471"/>
        <v>11.947655239607769</v>
      </c>
      <c r="AR73" s="17">
        <f>AU73-AO73</f>
        <v>2276925</v>
      </c>
      <c r="AS73" s="17">
        <f>AV73-AP73</f>
        <v>2954494</v>
      </c>
      <c r="AT73" s="18">
        <f t="shared" si="472"/>
        <v>29.758072839465498</v>
      </c>
      <c r="AU73" s="17">
        <v>17612863</v>
      </c>
      <c r="AV73" s="17">
        <v>20122717</v>
      </c>
      <c r="AW73" s="18">
        <f t="shared" si="473"/>
        <v>14.250119358789082</v>
      </c>
      <c r="AX73" s="17">
        <f>BA73-AU73</f>
        <v>3177040</v>
      </c>
      <c r="AY73" s="17">
        <f>BB73-AV73</f>
        <v>2679161</v>
      </c>
      <c r="AZ73" s="18">
        <f t="shared" si="474"/>
        <v>-15.671159318107419</v>
      </c>
      <c r="BA73" s="17">
        <v>20789903</v>
      </c>
      <c r="BB73" s="17">
        <v>22801878</v>
      </c>
      <c r="BC73" s="18">
        <f t="shared" si="475"/>
        <v>9.677654580687566</v>
      </c>
      <c r="BD73" s="17">
        <f>BG73-BA73</f>
        <v>1729709</v>
      </c>
      <c r="BE73" s="17">
        <f>BH73-BB73</f>
        <v>2607505</v>
      </c>
      <c r="BF73" s="18">
        <f t="shared" si="476"/>
        <v>50.748189435332769</v>
      </c>
      <c r="BG73" s="17">
        <v>22519612</v>
      </c>
      <c r="BH73" s="17">
        <v>25409383</v>
      </c>
      <c r="BI73" s="18">
        <f t="shared" si="477"/>
        <v>12.832241514640664</v>
      </c>
      <c r="BJ73" s="17">
        <f>BM73-BG73</f>
        <v>2517945</v>
      </c>
      <c r="BK73" s="17">
        <f>BN73-BH73</f>
        <v>2434079</v>
      </c>
      <c r="BL73" s="18">
        <f t="shared" si="478"/>
        <v>-3.3307320056633505</v>
      </c>
      <c r="BM73" s="17">
        <v>25037557</v>
      </c>
      <c r="BN73" s="17">
        <v>27843462</v>
      </c>
      <c r="BO73" s="18">
        <f t="shared" si="479"/>
        <v>11.20678427212367</v>
      </c>
      <c r="BP73" s="17">
        <f>BS73-BM73</f>
        <v>2876094</v>
      </c>
      <c r="BQ73" s="17">
        <f>BT73-BN73</f>
        <v>2713574</v>
      </c>
      <c r="BR73" s="18">
        <f t="shared" si="480"/>
        <v>-5.6507193436654006</v>
      </c>
      <c r="BS73" s="17">
        <v>27913651</v>
      </c>
      <c r="BT73" s="17">
        <v>30557036</v>
      </c>
      <c r="BU73" s="18">
        <f t="shared" si="481"/>
        <v>9.4698647625851571</v>
      </c>
      <c r="BV73" s="17">
        <f>BY73-BS73</f>
        <v>2041548</v>
      </c>
      <c r="BW73" s="17">
        <f>BZ73-BT73</f>
        <v>3265864</v>
      </c>
      <c r="BX73" s="18">
        <f t="shared" si="482"/>
        <v>59.969983561493521</v>
      </c>
      <c r="BY73" s="17">
        <v>29955199</v>
      </c>
      <c r="BZ73" s="17">
        <v>33822900</v>
      </c>
      <c r="CA73" s="18">
        <f t="shared" si="483"/>
        <v>12.911618447268536</v>
      </c>
      <c r="CB73" s="108"/>
    </row>
    <row r="74" spans="1:80" s="1" customFormat="1" ht="19.5" customHeight="1" thickBot="1">
      <c r="A74" s="189"/>
      <c r="B74" s="184"/>
      <c r="C74" s="85" t="s">
        <v>105</v>
      </c>
      <c r="D74" s="72">
        <f t="shared" ref="D74:L74" si="484">D73/D72</f>
        <v>63.703006172018142</v>
      </c>
      <c r="E74" s="72">
        <f t="shared" si="484"/>
        <v>58.153404810820064</v>
      </c>
      <c r="F74" s="72">
        <f t="shared" si="484"/>
        <v>68.474680575368069</v>
      </c>
      <c r="G74" s="72">
        <f t="shared" si="484"/>
        <v>69.137127067135623</v>
      </c>
      <c r="H74" s="72">
        <f>H73/H72</f>
        <v>66.390574939235023</v>
      </c>
      <c r="I74" s="72">
        <f>I73/I72</f>
        <v>68.86478788435636</v>
      </c>
      <c r="J74" s="72">
        <f>J73/J72</f>
        <v>69.050948219624587</v>
      </c>
      <c r="K74" s="72">
        <f t="shared" si="484"/>
        <v>70.485175689941187</v>
      </c>
      <c r="L74" s="72">
        <f t="shared" si="484"/>
        <v>61.624963650598367</v>
      </c>
      <c r="M74" s="73"/>
      <c r="N74" s="72">
        <f>N73/N72</f>
        <v>78.714377133105799</v>
      </c>
      <c r="O74" s="72">
        <f>O73/O72</f>
        <v>55.091339099544363</v>
      </c>
      <c r="P74" s="73"/>
      <c r="Q74" s="72">
        <f>Q73/Q72</f>
        <v>73.893471154695646</v>
      </c>
      <c r="R74" s="72">
        <f>R73/R72</f>
        <v>58.118102403083903</v>
      </c>
      <c r="S74" s="73"/>
      <c r="T74" s="72">
        <f>T73/T72</f>
        <v>79.278616465501713</v>
      </c>
      <c r="U74" s="72">
        <f>U73/U72</f>
        <v>56.433402462492758</v>
      </c>
      <c r="V74" s="73"/>
      <c r="W74" s="72">
        <f>W73/W72</f>
        <v>75.665429756965025</v>
      </c>
      <c r="X74" s="72">
        <f>X73/X72</f>
        <v>57.517063936436834</v>
      </c>
      <c r="Y74" s="73"/>
      <c r="Z74" s="72">
        <f>Z73/Z72</f>
        <v>61.157310846356182</v>
      </c>
      <c r="AA74" s="72">
        <f>AA73/AA72</f>
        <v>76.85780271560543</v>
      </c>
      <c r="AB74" s="73"/>
      <c r="AC74" s="72">
        <f>AC73/AC72</f>
        <v>69.371566653242041</v>
      </c>
      <c r="AD74" s="72">
        <f>AD73/AD72</f>
        <v>60.939747204880348</v>
      </c>
      <c r="AE74" s="73"/>
      <c r="AF74" s="72">
        <f>AF73/AF72</f>
        <v>80.8999504880464</v>
      </c>
      <c r="AG74" s="72">
        <f>AG73/AG72</f>
        <v>75.716215278580847</v>
      </c>
      <c r="AH74" s="73"/>
      <c r="AI74" s="72">
        <f>AI73/AI72</f>
        <v>71.210582434445101</v>
      </c>
      <c r="AJ74" s="72">
        <f>AJ73/AJ72</f>
        <v>63.772724249398053</v>
      </c>
      <c r="AK74" s="73"/>
      <c r="AL74" s="72">
        <f>AL73/AL72</f>
        <v>68.790340981112948</v>
      </c>
      <c r="AM74" s="72">
        <f>AM73/AM72</f>
        <v>79.200170551449688</v>
      </c>
      <c r="AN74" s="73"/>
      <c r="AO74" s="72">
        <f>AO73/AO72</f>
        <v>70.770037978597244</v>
      </c>
      <c r="AP74" s="72">
        <f>AP73/AP72</f>
        <v>65.854579419176901</v>
      </c>
      <c r="AQ74" s="73"/>
      <c r="AR74" s="72">
        <f>AR73/AR72</f>
        <v>71.777473047096649</v>
      </c>
      <c r="AS74" s="72">
        <f>AS73/AS72</f>
        <v>65.582552719200891</v>
      </c>
      <c r="AT74" s="73"/>
      <c r="AU74" s="72">
        <f>AU73/AU72</f>
        <v>70.898680878984635</v>
      </c>
      <c r="AV74" s="72">
        <f>AV73/AV72</f>
        <v>65.814498166796952</v>
      </c>
      <c r="AW74" s="73"/>
      <c r="AX74" s="72">
        <f>AX73/AX72</f>
        <v>68.113972085843528</v>
      </c>
      <c r="AY74" s="72">
        <f>AY73/AY72</f>
        <v>68.338970513212942</v>
      </c>
      <c r="AZ74" s="73"/>
      <c r="BA74" s="72">
        <f>BA73/BA72</f>
        <v>70.458483864626899</v>
      </c>
      <c r="BB74" s="72">
        <f>BB73/BB72</f>
        <v>66.10140511895824</v>
      </c>
      <c r="BC74" s="73"/>
      <c r="BD74" s="72">
        <f>BD73/BD72</f>
        <v>72.588400688237016</v>
      </c>
      <c r="BE74" s="72">
        <f>BE73/BE72</f>
        <v>69.104099859539389</v>
      </c>
      <c r="BF74" s="73"/>
      <c r="BG74" s="72">
        <f>BG73/BG72</f>
        <v>70.61763903479202</v>
      </c>
      <c r="BH74" s="72">
        <f>BH73/BH72</f>
        <v>66.397472078936772</v>
      </c>
      <c r="BI74" s="73"/>
      <c r="BJ74" s="72">
        <f>BJ73/BJ72</f>
        <v>69.320953665721447</v>
      </c>
      <c r="BK74" s="72">
        <f>BK73/BK72</f>
        <v>68.18721461187215</v>
      </c>
      <c r="BL74" s="73"/>
      <c r="BM74" s="72">
        <f>BM73/BM72</f>
        <v>70.485045802859091</v>
      </c>
      <c r="BN74" s="72">
        <f>BN73/BN72</f>
        <v>66.550175317830792</v>
      </c>
      <c r="BO74" s="73"/>
      <c r="BP74" s="72">
        <f>BP73/BP72</f>
        <v>61.847493710083221</v>
      </c>
      <c r="BQ74" s="72">
        <f>BQ73/BQ72</f>
        <v>24.11937141130251</v>
      </c>
      <c r="BR74" s="73"/>
      <c r="BS74" s="72">
        <f>BS73/BS72</f>
        <v>69.485167566544945</v>
      </c>
      <c r="BT74" s="72">
        <f>BT73/BT72</f>
        <v>57.558239104596254</v>
      </c>
      <c r="BU74" s="73"/>
      <c r="BV74" s="72">
        <f>BV73/BV72</f>
        <v>63.615480493580954</v>
      </c>
      <c r="BW74" s="72">
        <f>BW73/BW72</f>
        <v>29.53501664013891</v>
      </c>
      <c r="BX74" s="73"/>
      <c r="BY74" s="72">
        <f>BY73/BY72</f>
        <v>69.050948219624587</v>
      </c>
      <c r="BZ74" s="72">
        <f>BZ73/BZ72</f>
        <v>52.727584513574399</v>
      </c>
      <c r="CA74" s="73"/>
      <c r="CB74" s="108"/>
    </row>
    <row r="75" spans="1:80" s="3" customFormat="1" ht="19.5" customHeight="1" thickTop="1">
      <c r="A75" s="127" t="s">
        <v>11</v>
      </c>
      <c r="B75" s="128"/>
      <c r="C75" s="86" t="s">
        <v>42</v>
      </c>
      <c r="D75" s="74">
        <f t="shared" ref="D75:L76" si="485">SUM(D6+D9+D12+D15+D18+D21+D24+D27+D30+D33+D36+D39+D42+D45+D48+D51+D54+D57+D60+D63+D66+D69+D72)</f>
        <v>10176389.200000001</v>
      </c>
      <c r="E75" s="74">
        <f t="shared" si="485"/>
        <v>12587290.999999998</v>
      </c>
      <c r="F75" s="74">
        <f t="shared" si="485"/>
        <v>15754150.199999999</v>
      </c>
      <c r="G75" s="74">
        <f t="shared" si="485"/>
        <v>19177801</v>
      </c>
      <c r="H75" s="74">
        <f t="shared" ref="H75:J76" si="486">SUM(H6+H9+H12+H15+H18+H21+H24+H27+H30+H33+H36+H39+H42+H45+H48+H51+H54+H57+H60+H63+H66+H69+H72)</f>
        <v>29841207</v>
      </c>
      <c r="I75" s="74">
        <f t="shared" si="486"/>
        <v>23206733</v>
      </c>
      <c r="J75" s="74">
        <f t="shared" si="486"/>
        <v>31418353</v>
      </c>
      <c r="K75" s="74">
        <f t="shared" si="485"/>
        <v>1501471</v>
      </c>
      <c r="L75" s="74">
        <f t="shared" si="485"/>
        <v>1840012</v>
      </c>
      <c r="M75" s="58">
        <f t="shared" si="0"/>
        <v>22.547288625621142</v>
      </c>
      <c r="N75" s="74">
        <f>SUM(N6+N9+N12+N15+N18+N21+N24+N27+N30+N33+N36+N39+N42+N45+N48+N51+N54+N57+N60+N63+N66+N69+N72)</f>
        <v>1445387</v>
      </c>
      <c r="O75" s="74">
        <f>SUM(O6+O9+O12+O15+O18+O21+O24+O27+O30+O33+O36+O39+O42+O45+O48+O51+O54+O57+O60+O63+O66+O69+O72)</f>
        <v>1330031</v>
      </c>
      <c r="P75" s="58">
        <f t="shared" si="1"/>
        <v>-7.9809767211134419</v>
      </c>
      <c r="Q75" s="74">
        <f>SUM(Q6+Q9+Q12+Q15+Q18+Q21+Q24+Q27+Q30+Q33+Q36+Q39+Q42+Q45+Q48+Q51+Q54+Q57+Q60+Q63+Q66+Q69+Q72)</f>
        <v>2946858</v>
      </c>
      <c r="R75" s="74">
        <f>SUM(R6+R9+R12+R15+R18+R21+R24+R27+R30+R33+R36+R39+R42+R45+R48+R51+R54+R57+R60+R63+R66+R69+R72)</f>
        <v>3170043</v>
      </c>
      <c r="S75" s="58">
        <f t="shared" si="2"/>
        <v>7.5736598098720798</v>
      </c>
      <c r="T75" s="74">
        <f>SUM(T6+T9+T12+T15+T18+T21+T24+T27+T30+T33+T36+T39+T42+T45+T48+T51+T54+T57+T60+T63+T66+T69+T72)</f>
        <v>1526599</v>
      </c>
      <c r="U75" s="74">
        <f>SUM(U6+U9+U12+U15+U18+U21+U24+U27+U30+U33+U36+U39+U42+U45+U48+U51+U54+U57+U60+U63+U66+U69+U72)</f>
        <v>2440631</v>
      </c>
      <c r="V75" s="58">
        <f t="shared" ref="V75:V76" si="487">(U75/T75-1)*100</f>
        <v>59.873745495706473</v>
      </c>
      <c r="W75" s="74">
        <f>SUM(W6+W9+W12+W15+W18+W21+W24+W27+W30+W33+W36+W39+W42+W45+W48+W51+W54+W57+W60+W63+W66+W69+W72)</f>
        <v>4473457</v>
      </c>
      <c r="X75" s="74">
        <f>SUM(X6+X9+X12+X15+X18+X21+X24+X27+X30+X33+X36+X39+X42+X45+X48+X51+X54+X57+X60+X63+X66+X69+X72)</f>
        <v>5610674</v>
      </c>
      <c r="Y75" s="58">
        <f t="shared" ref="Y75:Y76" si="488">(X75/W75-1)*100</f>
        <v>25.421435815746072</v>
      </c>
      <c r="Z75" s="74">
        <f>SUM(Z6+Z9+Z12+Z15+Z18+Z21+Z24+Z27+Z30+Z33+Z36+Z39+Z42+Z45+Z48+Z51+Z54+Z57+Z60+Z63+Z66+Z69+Z72)</f>
        <v>1494352</v>
      </c>
      <c r="AA75" s="74">
        <f>SUM(AA6+AA9+AA12+AA15+AA18+AA21+AA24+AA27+AA30+AA33+AA36+AA39+AA42+AA45+AA48+AA51+AA54+AA57+AA60+AA63+AA66+AA69+AA72)</f>
        <v>1737949</v>
      </c>
      <c r="AB75" s="58">
        <f t="shared" ref="AB75:AB76" si="489">(AA75/Z75-1)*100</f>
        <v>16.301179374069829</v>
      </c>
      <c r="AC75" s="74">
        <f>SUM(AC6+AC9+AC12+AC15+AC18+AC21+AC24+AC27+AC30+AC33+AC36+AC39+AC42+AC45+AC48+AC51+AC54+AC57+AC60+AC63+AC66+AC69+AC72)</f>
        <v>5967809</v>
      </c>
      <c r="AD75" s="74">
        <f>SUM(AD6+AD9+AD12+AD15+AD18+AD21+AD24+AD27+AD30+AD33+AD36+AD39+AD42+AD45+AD48+AD51+AD54+AD57+AD60+AD63+AD66+AD69+AD72)</f>
        <v>7348623</v>
      </c>
      <c r="AE75" s="58">
        <f t="shared" ref="AE75:AE76" si="490">(AD75/AC75-1)*100</f>
        <v>23.137704306555396</v>
      </c>
      <c r="AF75" s="74">
        <f>SUM(AF6+AF9+AF12+AF15+AF18+AF21+AF24+AF27+AF30+AF33+AF36+AF39+AF42+AF45+AF48+AF51+AF54+AF57+AF60+AF63+AF66+AF69+AF72)</f>
        <v>1506462</v>
      </c>
      <c r="AG75" s="74">
        <f>SUM(AG6+AG9+AG12+AG15+AG18+AG21+AG24+AG27+AG30+AG33+AG36+AG39+AG42+AG45+AG48+AG51+AG54+AG57+AG60+AG63+AG66+AG69+AG72)</f>
        <v>2615972</v>
      </c>
      <c r="AH75" s="58">
        <f t="shared" ref="AH75:AH76" si="491">(AG75/AF75-1)*100</f>
        <v>73.650048922574868</v>
      </c>
      <c r="AI75" s="74">
        <f>SUM(AI6+AI9+AI12+AI15+AI18+AI21+AI24+AI27+AI30+AI33+AI36+AI39+AI42+AI45+AI48+AI51+AI54+AI57+AI60+AI63+AI66+AI69+AI72)</f>
        <v>7474271</v>
      </c>
      <c r="AJ75" s="74">
        <f>SUM(AJ6+AJ9+AJ12+AJ15+AJ18+AJ21+AJ24+AJ27+AJ30+AJ33+AJ36+AJ39+AJ42+AJ45+AJ48+AJ51+AJ54+AJ57+AJ60+AJ63+AJ66+AJ69+AJ72)</f>
        <v>9964595</v>
      </c>
      <c r="AK75" s="58">
        <f t="shared" ref="AK75:AK76" si="492">(AJ75/AI75-1)*100</f>
        <v>33.318620638721818</v>
      </c>
      <c r="AL75" s="74">
        <f>SUM(AL6+AL9+AL12+AL15+AL18+AL21+AL24+AL27+AL30+AL33+AL36+AL39+AL42+AL45+AL48+AL51+AL54+AL57+AL60+AL63+AL66+AL69+AL72)</f>
        <v>1934892</v>
      </c>
      <c r="AM75" s="74">
        <f>SUM(AM6+AM9+AM12+AM15+AM18+AM21+AM24+AM27+AM30+AM33+AM36+AM39+AM42+AM45+AM48+AM51+AM54+AM57+AM60+AM63+AM66+AM69+AM72)</f>
        <v>1797655</v>
      </c>
      <c r="AN75" s="58">
        <f t="shared" ref="AN75:AN76" si="493">(AM75/AL75-1)*100</f>
        <v>-7.0927472954562809</v>
      </c>
      <c r="AO75" s="74">
        <f>SUM(AO6+AO9+AO12+AO15+AO18+AO21+AO24+AO27+AO30+AO33+AO36+AO39+AO42+AO45+AO48+AO51+AO54+AO57+AO60+AO63+AO66+AO69+AO72)</f>
        <v>9409163</v>
      </c>
      <c r="AP75" s="74">
        <f>SUM(AP6+AP9+AP12+AP15+AP18+AP21+AP24+AP27+AP30+AP33+AP36+AP39+AP42+AP45+AP48+AP51+AP54+AP57+AP60+AP63+AP66+AP69+AP72)</f>
        <v>11762250</v>
      </c>
      <c r="AQ75" s="58">
        <f t="shared" ref="AQ75:AQ76" si="494">(AP75/AO75-1)*100</f>
        <v>25.008462495548223</v>
      </c>
      <c r="AR75" s="74">
        <f>SUM(AR6+AR9+AR12+AR15+AR18+AR21+AR24+AR27+AR30+AR33+AR36+AR39+AR42+AR45+AR48+AR51+AR54+AR57+AR60+AR63+AR66+AR69+AR72)</f>
        <v>14395046</v>
      </c>
      <c r="AS75" s="74">
        <f>SUM(AS6+AS9+AS12+AS15+AS18+AS21+AS24+AS27+AS30+AS33+AS36+AS39+AS42+AS45+AS48+AS51+AS54+AS57+AS60+AS63+AS66+AS69+AS72)</f>
        <v>2111565</v>
      </c>
      <c r="AT75" s="58">
        <f t="shared" ref="AT75:AT76" si="495">(AS75/AR75-1)*100</f>
        <v>-85.331307729061791</v>
      </c>
      <c r="AU75" s="74">
        <f>SUM(AU6+AU9+AU12+AU15+AU18+AU21+AU24+AU27+AU30+AU33+AU36+AU39+AU42+AU45+AU48+AU51+AU54+AU57+AU60+AU63+AU66+AU69+AU72)</f>
        <v>23804209</v>
      </c>
      <c r="AV75" s="74">
        <f>SUM(AV6+AV9+AV12+AV15+AV18+AV21+AV24+AV27+AV30+AV33+AV36+AV39+AV42+AV45+AV48+AV51+AV54+AV57+AV60+AV63+AV66+AV69+AV72)</f>
        <v>13873815</v>
      </c>
      <c r="AW75" s="58">
        <f t="shared" ref="AW75:AW76" si="496">(AV75/AU75-1)*100</f>
        <v>-41.716966944795352</v>
      </c>
      <c r="AX75" s="74">
        <f>SUM(AX6+AX9+AX12+AX15+AX18+AX21+AX24+AX27+AX30+AX33+AX36+AX39+AX42+AX45+AX48+AX51+AX54+AX57+AX60+AX63+AX66+AX69+AX72)</f>
        <v>1357579</v>
      </c>
      <c r="AY75" s="74">
        <f>SUM(AY6+AY9+AY12+AY15+AY18+AY21+AY24+AY27+AY30+AY33+AY36+AY39+AY42+AY45+AY48+AY51+AY54+AY57+AY60+AY63+AY66+AY69+AY72)</f>
        <v>1636265</v>
      </c>
      <c r="AZ75" s="58">
        <f t="shared" ref="AZ75:AZ76" si="497">(AY75/AX75-1)*100</f>
        <v>20.528160792115969</v>
      </c>
      <c r="BA75" s="74">
        <f>SUM(BA6+BA9+BA12+BA15+BA18+BA21+BA24+BA27+BA30+BA33+BA36+BA39+BA42+BA45+BA48+BA51+BA54+BA57+BA60+BA63+BA66+BA69+BA72)</f>
        <v>25161788</v>
      </c>
      <c r="BB75" s="74">
        <f>SUM(BB6+BB9+BB12+BB15+BB18+BB21+BB24+BB27+BB30+BB33+BB36+BB39+BB42+BB45+BB48+BB51+BB54+BB57+BB60+BB63+BB66+BB69+BB72)</f>
        <v>15510080</v>
      </c>
      <c r="BC75" s="58">
        <f t="shared" ref="BC75:BC76" si="498">(BB75/BA75-1)*100</f>
        <v>-38.358593594382086</v>
      </c>
      <c r="BD75" s="74">
        <f>SUM(BD6+BD9+BD12+BD15+BD18+BD21+BD24+BD27+BD30+BD33+BD36+BD39+BD42+BD45+BD48+BD51+BD54+BD57+BD60+BD63+BD66+BD69+BD72)</f>
        <v>1595243</v>
      </c>
      <c r="BE75" s="74">
        <f>SUM(BE6+BE9+BE12+BE15+BE18+BE21+BE24+BE27+BE30+BE33+BE36+BE39+BE42+BE45+BE48+BE51+BE54+BE57+BE60+BE63+BE66+BE69+BE72)</f>
        <v>1940616</v>
      </c>
      <c r="BF75" s="58">
        <f t="shared" ref="BF75:BF76" si="499">(BE75/BD75-1)*100</f>
        <v>21.650181194965292</v>
      </c>
      <c r="BG75" s="74">
        <f>SUM(BG6+BG9+BG12+BG15+BG18+BG21+BG24+BG27+BG30+BG33+BG36+BG39+BG42+BG45+BG48+BG51+BG54+BG57+BG60+BG63+BG66+BG69+BG72)</f>
        <v>26757031</v>
      </c>
      <c r="BH75" s="74">
        <f>SUM(BH6+BH9+BH12+BH15+BH18+BH21+BH24+BH27+BH30+BH33+BH36+BH39+BH42+BH45+BH48+BH51+BH54+BH57+BH60+BH63+BH66+BH69+BH72)</f>
        <v>17450696</v>
      </c>
      <c r="BI75" s="58">
        <f t="shared" ref="BI75:BI76" si="500">(BH75/BG75-1)*100</f>
        <v>-34.780895533588904</v>
      </c>
      <c r="BJ75" s="74">
        <f>SUM(BJ6+BJ9+BJ12+BJ15+BJ18+BJ21+BJ24+BJ27+BJ30+BJ33+BJ36+BJ39+BJ42+BJ45+BJ48+BJ51+BJ54+BJ57+BJ60+BJ63+BJ66+BJ69+BJ72)</f>
        <v>1476613</v>
      </c>
      <c r="BK75" s="74">
        <f>SUM(BK6+BK9+BK12+BK15+BK18+BK21+BK24+BK27+BK30+BK33+BK36+BK39+BK42+BK45+BK48+BK51+BK54+BK57+BK60+BK63+BK66+BK69+BK72)</f>
        <v>35601572</v>
      </c>
      <c r="BL75" s="58">
        <f t="shared" ref="BL75:BL76" si="501">(BK75/BJ75-1)*100</f>
        <v>2311.0292947441208</v>
      </c>
      <c r="BM75" s="74">
        <f>SUM(BM6+BM9+BM12+BM15+BM18+BM21+BM24+BM27+BM30+BM33+BM36+BM39+BM42+BM45+BM48+BM51+BM54+BM57+BM60+BM63+BM66+BM69+BM72)</f>
        <v>28233644</v>
      </c>
      <c r="BN75" s="74">
        <f>SUM(BN6+BN9+BN12+BN15+BN18+BN21+BN24+BN27+BN30+BN33+BN36+BN39+BN42+BN45+BN48+BN51+BN54+BN57+BN60+BN63+BN66+BN69+BN72)</f>
        <v>53052268</v>
      </c>
      <c r="BO75" s="58">
        <f t="shared" ref="BO75:BO76" si="502">(BN75/BM75-1)*100</f>
        <v>87.904430614765843</v>
      </c>
      <c r="BP75" s="74">
        <f>SUM(BP6+BP9+BP12+BP15+BP18+BP21+BP24+BP27+BP30+BP33+BP36+BP39+BP42+BP45+BP48+BP51+BP54+BP57+BP60+BP63+BP66+BP69+BP72)</f>
        <v>1337026</v>
      </c>
      <c r="BQ75" s="74">
        <f>SUM(BQ6+BQ9+BQ12+BQ15+BQ18+BQ21+BQ24+BQ27+BQ30+BQ33+BQ36+BQ39+BQ42+BQ45+BQ48+BQ51+BQ54+BQ57+BQ60+BQ63+BQ66+BQ69+BQ72)</f>
        <v>33409676</v>
      </c>
      <c r="BR75" s="58">
        <f t="shared" ref="BR75:BR76" si="503">(BQ75/BP75-1)*100</f>
        <v>2398.8052588356545</v>
      </c>
      <c r="BS75" s="74">
        <f>SUM(BS6+BS9+BS12+BS15+BS18+BS21+BS24+BS27+BS30+BS33+BS36+BS39+BS42+BS45+BS48+BS51+BS54+BS57+BS60+BS63+BS66+BS69+BS72)</f>
        <v>29570670</v>
      </c>
      <c r="BT75" s="74">
        <f>SUM(BT6+BT9+BT12+BT15+BT18+BT21+BT24+BT27+BT30+BT33+BT36+BT39+BT42+BT45+BT48+BT51+BT54+BT57+BT60+BT63+BT66+BT69+BT72)</f>
        <v>86461944</v>
      </c>
      <c r="BU75" s="58">
        <f t="shared" ref="BU75:BU76" si="504">(BT75/BS75-1)*100</f>
        <v>192.39088596910383</v>
      </c>
      <c r="BV75" s="74">
        <f>SUM(BV6+BV9+BV12+BV15+BV18+BV21+BV24+BV27+BV30+BV33+BV36+BV39+BV42+BV45+BV48+BV51+BV54+BV57+BV60+BV63+BV66+BV69+BV72)</f>
        <v>1847683</v>
      </c>
      <c r="BW75" s="74">
        <f>SUM(BW6+BW9+BW12+BW15+BW18+BW21+BW24+BW27+BW30+BW33+BW36+BW39+BW42+BW45+BW48+BW51+BW54+BW57+BW60+BW63+BW66+BW69+BW72)</f>
        <v>9818873</v>
      </c>
      <c r="BX75" s="58">
        <f t="shared" ref="BX75:BX76" si="505">(BW75/BV75-1)*100</f>
        <v>431.41545384137868</v>
      </c>
      <c r="BY75" s="74">
        <f>SUM(BY6+BY9+BY12+BY15+BY18+BY21+BY24+BY27+BY30+BY33+BY36+BY39+BY42+BY45+BY48+BY51+BY54+BY57+BY60+BY63+BY66+BY69+BY72)</f>
        <v>31418353</v>
      </c>
      <c r="BZ75" s="74">
        <f>SUM(BZ6+BZ9+BZ12+BZ15+BZ18+BZ21+BZ24+BZ27+BZ30+BZ33+BZ36+BZ39+BZ42+BZ45+BZ48+BZ51+BZ54+BZ57+BZ60+BZ63+BZ66+BZ69+BZ72)</f>
        <v>96280817</v>
      </c>
      <c r="CA75" s="58">
        <f t="shared" ref="CA75:CA76" si="506">(BZ75/BY75-1)*100</f>
        <v>206.4476899855317</v>
      </c>
      <c r="CB75" s="108"/>
    </row>
    <row r="76" spans="1:80" s="3" customFormat="1" ht="19.5" customHeight="1">
      <c r="A76" s="129"/>
      <c r="B76" s="130"/>
      <c r="C76" s="87" t="s">
        <v>104</v>
      </c>
      <c r="D76" s="29">
        <f t="shared" si="485"/>
        <v>186861807</v>
      </c>
      <c r="E76" s="29">
        <f t="shared" si="485"/>
        <v>259072875</v>
      </c>
      <c r="F76" s="29">
        <f t="shared" si="485"/>
        <v>432212228</v>
      </c>
      <c r="G76" s="29">
        <f t="shared" si="485"/>
        <v>350815781</v>
      </c>
      <c r="H76" s="29">
        <f t="shared" si="486"/>
        <v>461334337</v>
      </c>
      <c r="I76" s="29">
        <f t="shared" si="486"/>
        <v>446103209</v>
      </c>
      <c r="J76" s="29">
        <f t="shared" si="486"/>
        <v>264999589</v>
      </c>
      <c r="K76" s="29">
        <f t="shared" si="485"/>
        <v>24963591</v>
      </c>
      <c r="L76" s="29">
        <f t="shared" si="485"/>
        <v>22267157</v>
      </c>
      <c r="M76" s="60">
        <f t="shared" si="0"/>
        <v>-10.801466824224127</v>
      </c>
      <c r="N76" s="29">
        <f>SUM(N7+N10+N13+N16+N19+N22+N25+N28+N31+N34+N37+N40+N43+N46+N49+N52+N55+N58+N61+N64+N67+N70+N73)</f>
        <v>22336617</v>
      </c>
      <c r="O76" s="29">
        <f>SUM(O7+O10+O13+O16+O19+O22+O25+O28+O31+O34+O37+O40+O43+O46+O49+O52+O55+O58+O61+O64+O67+O70+O73)</f>
        <v>16739273</v>
      </c>
      <c r="P76" s="60">
        <f t="shared" si="1"/>
        <v>-25.059049899991571</v>
      </c>
      <c r="Q76" s="29">
        <f>SUM(Q7+Q10+Q13+Q16+Q19+Q22+Q25+Q28+Q31+Q34+Q37+Q40+Q43+Q46+Q49+Q52+Q55+Q58+Q61+Q64+Q67+Q70+Q73)</f>
        <v>47300208</v>
      </c>
      <c r="R76" s="29">
        <f>SUM(R7+R10+R13+R16+R19+R22+R25+R28+R31+R34+R37+R40+R43+R46+R49+R52+R55+R58+R61+R64+R67+R70+R73)</f>
        <v>39006430</v>
      </c>
      <c r="S76" s="60">
        <f t="shared" si="2"/>
        <v>-17.534337269721945</v>
      </c>
      <c r="T76" s="29">
        <f>SUM(T7+T10+T13+T16+T19+T22+T25+T28+T31+T34+T37+T40+T43+T46+T49+T52+T55+T58+T61+T64+T67+T70+T73)</f>
        <v>26200290</v>
      </c>
      <c r="U76" s="29">
        <f>SUM(U7+U10+U13+U16+U19+U22+U25+U28+U31+U34+U37+U40+U43+U46+U49+U52+U55+U58+U61+U64+U67+U70+U73)</f>
        <v>26766235</v>
      </c>
      <c r="V76" s="60">
        <f t="shared" si="487"/>
        <v>2.1600715106588453</v>
      </c>
      <c r="W76" s="29">
        <f>SUM(W7+W10+W13+W16+W19+W22+W25+W28+W31+W34+W37+W40+W43+W46+W49+W52+W55+W58+W61+W64+W67+W70+W73)</f>
        <v>73500498</v>
      </c>
      <c r="X76" s="29">
        <f>SUM(X7+X10+X13+X16+X19+X22+X25+X28+X31+X34+X37+X40+X43+X46+X49+X52+X55+X58+X61+X64+X67+X70+X73)</f>
        <v>65772665</v>
      </c>
      <c r="Y76" s="60">
        <f t="shared" si="488"/>
        <v>-10.51398726577335</v>
      </c>
      <c r="Z76" s="29">
        <f>SUM(Z7+Z10+Z13+Z16+Z19+Z22+Z25+Z28+Z31+Z34+Z37+Z40+Z43+Z46+Z49+Z52+Z55+Z58+Z61+Z64+Z67+Z70+Z73)</f>
        <v>24960064</v>
      </c>
      <c r="AA76" s="29">
        <f>SUM(AA7+AA10+AA13+AA16+AA19+AA22+AA25+AA28+AA31+AA34+AA37+AA40+AA43+AA46+AA49+AA52+AA55+AA58+AA61+AA64+AA67+AA70+AA73)</f>
        <v>19263593</v>
      </c>
      <c r="AB76" s="60">
        <f t="shared" si="489"/>
        <v>-22.822341320919691</v>
      </c>
      <c r="AC76" s="29">
        <f>SUM(AC7+AC10+AC13+AC16+AC19+AC22+AC25+AC28+AC31+AC34+AC37+AC40+AC43+AC46+AC49+AC52+AC55+AC58+AC61+AC64+AC67+AC70+AC73)</f>
        <v>98460562</v>
      </c>
      <c r="AD76" s="29">
        <f>SUM(AD7+AD10+AD13+AD16+AD19+AD22+AD25+AD28+AD31+AD34+AD37+AD40+AD43+AD46+AD49+AD52+AD55+AD58+AD61+AD64+AD67+AD70+AD73)</f>
        <v>85036258</v>
      </c>
      <c r="AE76" s="60">
        <f t="shared" si="490"/>
        <v>-13.634193962857942</v>
      </c>
      <c r="AF76" s="29">
        <f>SUM(AF7+AF10+AF13+AF16+AF19+AF22+AF25+AF28+AF31+AF34+AF37+AF40+AF43+AF46+AF49+AF52+AF55+AF58+AF61+AF64+AF67+AF70+AF73)</f>
        <v>22737665</v>
      </c>
      <c r="AG76" s="29">
        <f>SUM(AG7+AG10+AG13+AG16+AG19+AG22+AG25+AG28+AG31+AG34+AG37+AG40+AG43+AG46+AG49+AG52+AG55+AG58+AG61+AG64+AG67+AG70+AG73)</f>
        <v>30678250</v>
      </c>
      <c r="AH76" s="60">
        <f t="shared" si="491"/>
        <v>34.922605289505327</v>
      </c>
      <c r="AI76" s="29">
        <f>SUM(AI7+AI10+AI13+AI16+AI19+AI22+AI25+AI28+AI31+AI34+AI37+AI40+AI43+AI46+AI49+AI52+AI55+AI58+AI61+AI64+AI67+AI70+AI73)</f>
        <v>121198227</v>
      </c>
      <c r="AJ76" s="29">
        <f>SUM(AJ7+AJ10+AJ13+AJ16+AJ19+AJ22+AJ25+AJ28+AJ31+AJ34+AJ37+AJ40+AJ43+AJ46+AJ49+AJ52+AJ55+AJ58+AJ61+AJ64+AJ67+AJ70+AJ73)</f>
        <v>115714508</v>
      </c>
      <c r="AK76" s="60">
        <f t="shared" si="492"/>
        <v>-4.5245868159440983</v>
      </c>
      <c r="AL76" s="29">
        <f>SUM(AL7+AL10+AL13+AL16+AL19+AL22+AL25+AL28+AL31+AL34+AL37+AL40+AL43+AL46+AL49+AL52+AL55+AL58+AL61+AL64+AL67+AL70+AL73)</f>
        <v>26142976</v>
      </c>
      <c r="AM76" s="29">
        <f>SUM(AM7+AM10+AM13+AM16+AM19+AM22+AM25+AM28+AM31+AM34+AM37+AM40+AM43+AM46+AM49+AM52+AM55+AM58+AM61+AM64+AM67+AM70+AM73)</f>
        <v>20488299</v>
      </c>
      <c r="AN76" s="60">
        <f t="shared" si="493"/>
        <v>-21.629813683032872</v>
      </c>
      <c r="AO76" s="29">
        <f>SUM(AO7+AO10+AO13+AO16+AO19+AO22+AO25+AO28+AO31+AO34+AO37+AO40+AO43+AO46+AO49+AO52+AO55+AO58+AO61+AO64+AO67+AO70+AO73)</f>
        <v>147341203</v>
      </c>
      <c r="AP76" s="29">
        <f>SUM(AP7+AP10+AP13+AP16+AP19+AP22+AP25+AP28+AP31+AP34+AP37+AP40+AP43+AP46+AP49+AP52+AP55+AP58+AP61+AP64+AP67+AP70+AP73)</f>
        <v>136202807</v>
      </c>
      <c r="AQ76" s="60">
        <f t="shared" si="494"/>
        <v>-7.559593496735606</v>
      </c>
      <c r="AR76" s="29">
        <f>SUM(AR7+AR10+AR13+AR16+AR19+AR22+AR25+AR28+AR31+AR34+AR37+AR40+AR43+AR46+AR49+AR52+AR55+AR58+AR61+AR64+AR67+AR70+AR73)</f>
        <v>24358779</v>
      </c>
      <c r="AS76" s="29">
        <f>SUM(AS7+AS10+AS13+AS16+AS19+AS22+AS25+AS28+AS31+AS34+AS37+AS40+AS43+AS46+AS49+AS52+AS55+AS58+AS61+AS64+AS67+AS70+AS73)</f>
        <v>25177299</v>
      </c>
      <c r="AT76" s="60">
        <f t="shared" si="495"/>
        <v>3.3602669493409287</v>
      </c>
      <c r="AU76" s="29">
        <f>SUM(AU7+AU10+AU13+AU16+AU19+AU22+AU25+AU28+AU31+AU34+AU37+AU40+AU43+AU46+AU49+AU52+AU55+AU58+AU61+AU64+AU67+AU70+AU73)</f>
        <v>171699982</v>
      </c>
      <c r="AV76" s="29">
        <f>SUM(AV7+AV10+AV13+AV16+AV19+AV22+AV25+AV28+AV31+AV34+AV37+AV40+AV43+AV46+AV49+AV52+AV55+AV58+AV61+AV64+AV67+AV70+AV73)</f>
        <v>161380106</v>
      </c>
      <c r="AW76" s="60">
        <f t="shared" si="496"/>
        <v>-6.0104118123902932</v>
      </c>
      <c r="AX76" s="29">
        <f>SUM(AX7+AX10+AX13+AX16+AX19+AX22+AX25+AX28+AX31+AX34+AX37+AX40+AX43+AX46+AX49+AX52+AX55+AX58+AX61+AX64+AX67+AX70+AX73)</f>
        <v>22236159</v>
      </c>
      <c r="AY76" s="29">
        <f>SUM(AY7+AY10+AY13+AY16+AY19+AY22+AY25+AY28+AY31+AY34+AY37+AY40+AY43+AY46+AY49+AY52+AY55+AY58+AY61+AY64+AY67+AY70+AY73)</f>
        <v>17383869</v>
      </c>
      <c r="AZ76" s="60">
        <f t="shared" si="497"/>
        <v>-21.821619462246154</v>
      </c>
      <c r="BA76" s="29">
        <f>SUM(BA7+BA10+BA13+BA16+BA19+BA22+BA25+BA28+BA31+BA34+BA37+BA40+BA43+BA46+BA49+BA52+BA55+BA58+BA61+BA64+BA67+BA70+BA73)</f>
        <v>193936141</v>
      </c>
      <c r="BB76" s="29">
        <f>SUM(BB7+BB10+BB13+BB16+BB19+BB22+BB25+BB28+BB31+BB34+BB37+BB40+BB43+BB46+BB49+BB52+BB55+BB58+BB61+BB64+BB67+BB70+BB73)</f>
        <v>178763975</v>
      </c>
      <c r="BC76" s="60">
        <f t="shared" si="498"/>
        <v>-7.8232793133694472</v>
      </c>
      <c r="BD76" s="29">
        <f>SUM(BD7+BD10+BD13+BD16+BD19+BD22+BD25+BD28+BD31+BD34+BD37+BD40+BD43+BD46+BD49+BD52+BD55+BD58+BD61+BD64+BD67+BD70+BD73)</f>
        <v>20893651</v>
      </c>
      <c r="BE76" s="29">
        <f>SUM(BE7+BE10+BE13+BE16+BE19+BE22+BE25+BE28+BE31+BE34+BE37+BE40+BE43+BE46+BE49+BE52+BE55+BE58+BE61+BE64+BE67+BE70+BE73)</f>
        <v>23940052</v>
      </c>
      <c r="BF76" s="60">
        <f t="shared" si="499"/>
        <v>14.580510605829499</v>
      </c>
      <c r="BG76" s="29">
        <f>SUM(BG7+BG10+BG13+BG16+BG19+BG22+BG25+BG28+BG31+BG34+BG37+BG40+BG43+BG46+BG49+BG52+BG55+BG58+BG61+BG64+BG67+BG70+BG73)</f>
        <v>214829792</v>
      </c>
      <c r="BH76" s="29">
        <f>SUM(BH7+BH10+BH13+BH16+BH19+BH22+BH25+BH28+BH31+BH34+BH37+BH40+BH43+BH46+BH49+BH52+BH55+BH58+BH61+BH64+BH67+BH70+BH73)</f>
        <v>202704027</v>
      </c>
      <c r="BI76" s="60">
        <f t="shared" si="500"/>
        <v>-5.6443591399092385</v>
      </c>
      <c r="BJ76" s="29">
        <f>SUM(BJ7+BJ10+BJ13+BJ16+BJ19+BJ22+BJ25+BJ28+BJ31+BJ34+BJ37+BJ40+BJ43+BJ46+BJ49+BJ52+BJ55+BJ58+BJ61+BJ64+BJ67+BJ70+BJ73)</f>
        <v>15863515</v>
      </c>
      <c r="BK76" s="29">
        <f>SUM(BK7+BK10+BK13+BK16+BK19+BK22+BK25+BK28+BK31+BK34+BK37+BK40+BK43+BK46+BK49+BK52+BK55+BK58+BK61+BK64+BK67+BK70+BK73)</f>
        <v>19823866</v>
      </c>
      <c r="BL76" s="60">
        <f t="shared" si="501"/>
        <v>24.965154317942773</v>
      </c>
      <c r="BM76" s="29">
        <f>SUM(BM7+BM10+BM13+BM16+BM19+BM22+BM25+BM28+BM31+BM34+BM37+BM40+BM43+BM46+BM49+BM52+BM55+BM58+BM61+BM64+BM67+BM70+BM73)</f>
        <v>230693307</v>
      </c>
      <c r="BN76" s="29">
        <f>SUM(BN7+BN10+BN13+BN16+BN19+BN22+BN25+BN28+BN31+BN34+BN37+BN40+BN43+BN46+BN49+BN52+BN55+BN58+BN61+BN64+BN67+BN70+BN73)</f>
        <v>222527893</v>
      </c>
      <c r="BO76" s="60">
        <f t="shared" si="502"/>
        <v>-3.5395105762647927</v>
      </c>
      <c r="BP76" s="29">
        <f>SUM(BP7+BP10+BP13+BP16+BP19+BP22+BP25+BP28+BP31+BP34+BP37+BP40+BP43+BP46+BP49+BP52+BP55+BP58+BP61+BP64+BP67+BP70+BP73)</f>
        <v>15714400</v>
      </c>
      <c r="BQ76" s="29">
        <f>SUM(BQ7+BQ10+BQ13+BQ16+BQ19+BQ22+BQ25+BQ28+BQ31+BQ34+BQ37+BQ40+BQ43+BQ46+BQ49+BQ52+BQ55+BQ58+BQ61+BQ64+BQ67+BQ70+BQ73)</f>
        <v>30176526</v>
      </c>
      <c r="BR76" s="60">
        <f t="shared" si="503"/>
        <v>92.031041592424785</v>
      </c>
      <c r="BS76" s="29">
        <f>SUM(BS7+BS10+BS13+BS16+BS19+BS22+BS25+BS28+BS31+BS34+BS37+BS40+BS43+BS46+BS49+BS52+BS55+BS58+BS61+BS64+BS67+BS70+BS73)</f>
        <v>246407707</v>
      </c>
      <c r="BT76" s="29">
        <f>SUM(BT7+BT10+BT13+BT16+BT19+BT22+BT25+BT28+BT31+BT34+BT37+BT40+BT43+BT46+BT49+BT52+BT55+BT58+BT61+BT64+BT67+BT70+BT73)</f>
        <v>252704419</v>
      </c>
      <c r="BU76" s="60">
        <f t="shared" si="504"/>
        <v>2.5554038372671561</v>
      </c>
      <c r="BV76" s="29">
        <f>SUM(BV7+BV10+BV13+BV16+BV19+BV22+BV25+BV28+BV31+BV34+BV37+BV40+BV43+BV46+BV49+BV52+BV55+BV58+BV61+BV64+BV67+BV70+BV73)</f>
        <v>18591882</v>
      </c>
      <c r="BW76" s="29">
        <f>SUM(BW7+BW10+BW13+BW16+BW19+BW22+BW25+BW28+BW31+BW34+BW37+BW40+BW43+BW46+BW49+BW52+BW55+BW58+BW61+BW64+BW67+BW70+BW73)</f>
        <v>22813983</v>
      </c>
      <c r="BX76" s="60">
        <f t="shared" si="505"/>
        <v>22.709379287153396</v>
      </c>
      <c r="BY76" s="29">
        <f>SUM(BY7+BY10+BY13+BY16+BY19+BY22+BY25+BY28+BY31+BY34+BY37+BY40+BY43+BY46+BY49+BY52+BY55+BY58+BY61+BY64+BY67+BY70+BY73)</f>
        <v>264999589</v>
      </c>
      <c r="BZ76" s="29">
        <f>SUM(BZ7+BZ10+BZ13+BZ16+BZ19+BZ22+BZ25+BZ28+BZ31+BZ34+BZ37+BZ40+BZ43+BZ46+BZ49+BZ52+BZ55+BZ58+BZ61+BZ64+BZ67+BZ70+BZ73)</f>
        <v>275518402</v>
      </c>
      <c r="CA76" s="60">
        <f t="shared" si="506"/>
        <v>3.9693695524939177</v>
      </c>
      <c r="CB76" s="108"/>
    </row>
    <row r="77" spans="1:80" s="3" customFormat="1" ht="19.5" customHeight="1">
      <c r="A77" s="131"/>
      <c r="B77" s="132"/>
      <c r="C77" s="88" t="s">
        <v>105</v>
      </c>
      <c r="D77" s="76">
        <f t="shared" ref="D77:L77" si="507">D76/D75*1000</f>
        <v>18362.289740254822</v>
      </c>
      <c r="E77" s="76">
        <f t="shared" si="507"/>
        <v>20582.099436646062</v>
      </c>
      <c r="F77" s="76">
        <f t="shared" si="507"/>
        <v>27434.81701729618</v>
      </c>
      <c r="G77" s="76">
        <f t="shared" si="507"/>
        <v>18292.80536386836</v>
      </c>
      <c r="H77" s="76">
        <f>H76/H75*1000</f>
        <v>15459.64065729647</v>
      </c>
      <c r="I77" s="76">
        <f>I76/I75*1000</f>
        <v>19223.007779681873</v>
      </c>
      <c r="J77" s="76">
        <f>J76/J75*1000</f>
        <v>8434.5474442915583</v>
      </c>
      <c r="K77" s="76">
        <f t="shared" si="507"/>
        <v>16626.089348379021</v>
      </c>
      <c r="L77" s="76">
        <f t="shared" si="507"/>
        <v>12101.636837151062</v>
      </c>
      <c r="M77" s="77"/>
      <c r="N77" s="76">
        <f>N76/N75*1000</f>
        <v>15453.727617586155</v>
      </c>
      <c r="O77" s="76">
        <f>O76/O75*1000</f>
        <v>12585.626199690083</v>
      </c>
      <c r="P77" s="77"/>
      <c r="Q77" s="76">
        <f>Q76/Q75*1000</f>
        <v>16051.064557572847</v>
      </c>
      <c r="R77" s="76">
        <f>R76/R75*1000</f>
        <v>12304.700598698502</v>
      </c>
      <c r="S77" s="77"/>
      <c r="T77" s="76">
        <f>T76/T75*1000</f>
        <v>17162.522705700711</v>
      </c>
      <c r="U77" s="76">
        <f>U76/U75*1000</f>
        <v>10966.932322010169</v>
      </c>
      <c r="V77" s="77"/>
      <c r="W77" s="76">
        <f>W76/W75*1000</f>
        <v>16430.357551218218</v>
      </c>
      <c r="X77" s="76">
        <f>X76/X75*1000</f>
        <v>11722.774304833965</v>
      </c>
      <c r="Y77" s="77"/>
      <c r="Z77" s="76">
        <f>Z76/Z75*1000</f>
        <v>16702.9347837725</v>
      </c>
      <c r="AA77" s="76">
        <f>AA76/AA75*1000</f>
        <v>11084.095678296659</v>
      </c>
      <c r="AB77" s="77"/>
      <c r="AC77" s="76">
        <f>AC76/AC75*1000</f>
        <v>16498.611466955459</v>
      </c>
      <c r="AD77" s="76">
        <f>AD76/AD75*1000</f>
        <v>11571.72683916429</v>
      </c>
      <c r="AE77" s="77"/>
      <c r="AF77" s="76">
        <f>AF76/AF75*1000</f>
        <v>15093.420876198668</v>
      </c>
      <c r="AG77" s="76">
        <f>AG76/AG75*1000</f>
        <v>11727.285307335094</v>
      </c>
      <c r="AH77" s="77"/>
      <c r="AI77" s="76">
        <f>AI76/AI75*1000</f>
        <v>16215.391039473951</v>
      </c>
      <c r="AJ77" s="76">
        <f>AJ76/AJ75*1000</f>
        <v>11612.565086689423</v>
      </c>
      <c r="AK77" s="77"/>
      <c r="AL77" s="76">
        <f>AL76/AL75*1000</f>
        <v>13511.336033225627</v>
      </c>
      <c r="AM77" s="76">
        <f>AM76/AM75*1000</f>
        <v>11397.236399642868</v>
      </c>
      <c r="AN77" s="77"/>
      <c r="AO77" s="76">
        <f>AO76/AO75*1000</f>
        <v>15659.331547343796</v>
      </c>
      <c r="AP77" s="76">
        <f>AP76/AP75*1000</f>
        <v>11579.655848158303</v>
      </c>
      <c r="AQ77" s="77"/>
      <c r="AR77" s="76">
        <f>AR76/AR75*1000</f>
        <v>1692.1640264296479</v>
      </c>
      <c r="AS77" s="76">
        <f>AS76/AS75*1000</f>
        <v>11923.525442029964</v>
      </c>
      <c r="AT77" s="77"/>
      <c r="AU77" s="76">
        <f>AU76/AU75*1000</f>
        <v>7213.009346372316</v>
      </c>
      <c r="AV77" s="76">
        <f>AV76/AV75*1000</f>
        <v>11631.992065628667</v>
      </c>
      <c r="AW77" s="77"/>
      <c r="AX77" s="76">
        <f>AX76/AX75*1000</f>
        <v>16379.274428965089</v>
      </c>
      <c r="AY77" s="76">
        <f>AY76/AY75*1000</f>
        <v>10624.11589809719</v>
      </c>
      <c r="AZ77" s="77"/>
      <c r="BA77" s="76">
        <f>BA76/BA75*1000</f>
        <v>7707.5659726566337</v>
      </c>
      <c r="BB77" s="76">
        <f>BB76/BB75*1000</f>
        <v>11525.664277682643</v>
      </c>
      <c r="BC77" s="77"/>
      <c r="BD77" s="76">
        <f>BD76/BD75*1000</f>
        <v>13097.472297323982</v>
      </c>
      <c r="BE77" s="76">
        <f>BE76/BE75*1000</f>
        <v>12336.315891448901</v>
      </c>
      <c r="BF77" s="77"/>
      <c r="BG77" s="76">
        <f>BG76/BG75*1000</f>
        <v>8028.9099339908071</v>
      </c>
      <c r="BH77" s="76">
        <f>BH76/BH75*1000</f>
        <v>11615.813317703776</v>
      </c>
      <c r="BI77" s="77"/>
      <c r="BJ77" s="76">
        <f>BJ76/BJ75*1000</f>
        <v>10743.177122238529</v>
      </c>
      <c r="BK77" s="76">
        <f>BK76/BK75*1000</f>
        <v>556.82558062323767</v>
      </c>
      <c r="BL77" s="77"/>
      <c r="BM77" s="76">
        <f>BM76/BM75*1000</f>
        <v>8170.8654752464827</v>
      </c>
      <c r="BN77" s="76">
        <f>BN76/BN75*1000</f>
        <v>4194.5029192719903</v>
      </c>
      <c r="BO77" s="77"/>
      <c r="BP77" s="76">
        <f>BP76/BP75*1000</f>
        <v>11753.249375853575</v>
      </c>
      <c r="BQ77" s="76">
        <f>BQ76/BQ75*1000</f>
        <v>903.2271369527798</v>
      </c>
      <c r="BR77" s="77"/>
      <c r="BS77" s="76">
        <f>BS76/BS75*1000</f>
        <v>8332.8415284469374</v>
      </c>
      <c r="BT77" s="76">
        <f>BT76/BT75*1000</f>
        <v>2922.7242334500365</v>
      </c>
      <c r="BU77" s="77"/>
      <c r="BV77" s="76">
        <f>BV76/BV75*1000</f>
        <v>10062.268257054917</v>
      </c>
      <c r="BW77" s="76">
        <f>BW76/BW75*1000</f>
        <v>2323.4828477769292</v>
      </c>
      <c r="BX77" s="77"/>
      <c r="BY77" s="76">
        <f>BY76/BY75*1000</f>
        <v>8434.5474442915583</v>
      </c>
      <c r="BZ77" s="76">
        <f>BZ76/BZ75*1000</f>
        <v>2861.6126304786135</v>
      </c>
      <c r="CA77" s="77"/>
      <c r="CB77" s="108"/>
    </row>
    <row r="78" spans="1:80">
      <c r="A78" s="8"/>
      <c r="B78" s="8"/>
      <c r="C78" s="8"/>
      <c r="D78" s="8"/>
      <c r="E78" s="8"/>
      <c r="F78" s="8"/>
      <c r="G78" s="8"/>
      <c r="H78" s="8"/>
      <c r="I78" s="78"/>
      <c r="J78" s="78"/>
      <c r="K78" s="10"/>
      <c r="L78" s="10"/>
      <c r="M78" s="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</row>
    <row r="79" spans="1:80" s="7" customFormat="1">
      <c r="A79" s="78"/>
      <c r="B79" s="78"/>
      <c r="C79" s="78"/>
      <c r="D79" s="78"/>
      <c r="E79" s="78"/>
      <c r="F79" s="78"/>
      <c r="G79" s="78"/>
      <c r="H79" s="92"/>
      <c r="I79" s="80"/>
      <c r="J79" s="80"/>
      <c r="K79" s="80"/>
      <c r="L79" s="80"/>
      <c r="M79" s="78"/>
      <c r="N79" s="78"/>
      <c r="O79" s="78"/>
      <c r="P79" s="78"/>
      <c r="Q79" s="80"/>
      <c r="R79" s="80"/>
      <c r="S79" s="78"/>
      <c r="T79" s="78"/>
      <c r="U79" s="78"/>
      <c r="V79" s="78"/>
      <c r="W79" s="80"/>
      <c r="X79" s="80"/>
      <c r="Y79" s="78"/>
      <c r="Z79" s="78"/>
      <c r="AA79" s="78"/>
      <c r="AB79" s="78"/>
      <c r="AC79" s="80"/>
      <c r="AD79" s="80"/>
      <c r="AE79" s="78"/>
      <c r="AF79" s="78"/>
      <c r="AG79" s="78"/>
      <c r="AH79" s="78"/>
      <c r="AI79" s="80"/>
      <c r="AJ79" s="80"/>
      <c r="AK79" s="78"/>
      <c r="AL79" s="78"/>
      <c r="AM79" s="78"/>
      <c r="AN79" s="78"/>
      <c r="AO79" s="80"/>
      <c r="AP79" s="80"/>
      <c r="AQ79" s="78"/>
      <c r="AR79" s="78"/>
      <c r="AS79" s="78"/>
      <c r="AT79" s="78"/>
      <c r="AU79" s="80"/>
      <c r="AV79" s="80"/>
      <c r="AW79" s="78"/>
      <c r="AX79" s="78"/>
      <c r="AY79" s="78"/>
      <c r="AZ79" s="78"/>
      <c r="BA79" s="80"/>
      <c r="BB79" s="80"/>
      <c r="BC79" s="78"/>
      <c r="BD79" s="78"/>
      <c r="BE79" s="78"/>
      <c r="BF79" s="78"/>
      <c r="BG79" s="80"/>
      <c r="BH79" s="80"/>
      <c r="BI79" s="78"/>
      <c r="BJ79" s="78"/>
      <c r="BK79" s="78"/>
      <c r="BL79" s="78"/>
      <c r="BM79" s="80"/>
      <c r="BN79" s="80"/>
      <c r="BO79" s="78"/>
      <c r="BP79" s="78"/>
      <c r="BQ79" s="78"/>
      <c r="BR79" s="78"/>
      <c r="BS79" s="80"/>
      <c r="BT79" s="80"/>
      <c r="BU79" s="78"/>
      <c r="BV79" s="78"/>
      <c r="BW79" s="78"/>
      <c r="BX79" s="78"/>
      <c r="BY79" s="80"/>
      <c r="BZ79" s="80"/>
      <c r="CA79" s="78"/>
    </row>
    <row r="80" spans="1:80" s="7" customFormat="1">
      <c r="A80" s="78"/>
      <c r="B80" s="78"/>
      <c r="C80" s="78"/>
      <c r="D80" s="78"/>
      <c r="E80" s="78"/>
      <c r="F80" s="78"/>
      <c r="G80" s="78"/>
      <c r="H80" s="92"/>
      <c r="I80" s="80"/>
      <c r="J80" s="80"/>
      <c r="K80" s="80"/>
      <c r="L80" s="80"/>
      <c r="M80" s="78"/>
      <c r="N80" s="78"/>
      <c r="O80" s="78"/>
      <c r="P80" s="78"/>
      <c r="Q80" s="80"/>
      <c r="R80" s="80"/>
      <c r="S80" s="78"/>
      <c r="T80" s="78"/>
      <c r="U80" s="78"/>
      <c r="V80" s="78"/>
      <c r="W80" s="80"/>
      <c r="X80" s="80"/>
      <c r="Y80" s="78"/>
      <c r="Z80" s="78"/>
      <c r="AA80" s="78"/>
      <c r="AB80" s="78"/>
      <c r="AC80" s="80"/>
      <c r="AD80" s="80"/>
      <c r="AE80" s="78"/>
      <c r="AF80" s="78"/>
      <c r="AG80" s="78"/>
      <c r="AH80" s="78"/>
      <c r="AI80" s="80"/>
      <c r="AJ80" s="80"/>
      <c r="AK80" s="78"/>
      <c r="AL80" s="78"/>
      <c r="AM80" s="78"/>
      <c r="AN80" s="78"/>
      <c r="AO80" s="80"/>
      <c r="AP80" s="80"/>
      <c r="AQ80" s="78"/>
      <c r="AR80" s="78"/>
      <c r="AS80" s="78"/>
      <c r="AT80" s="78"/>
      <c r="AU80" s="80"/>
      <c r="AV80" s="80"/>
      <c r="AW80" s="78"/>
      <c r="AX80" s="78"/>
      <c r="AY80" s="78"/>
      <c r="AZ80" s="78"/>
      <c r="BA80" s="80"/>
      <c r="BB80" s="80"/>
      <c r="BC80" s="78"/>
      <c r="BD80" s="78"/>
      <c r="BE80" s="78"/>
      <c r="BF80" s="78"/>
      <c r="BG80" s="80"/>
      <c r="BH80" s="80"/>
      <c r="BI80" s="78"/>
      <c r="BJ80" s="78"/>
      <c r="BK80" s="78"/>
      <c r="BL80" s="78"/>
      <c r="BM80" s="80"/>
      <c r="BN80" s="80"/>
      <c r="BO80" s="78"/>
      <c r="BP80" s="78"/>
      <c r="BQ80" s="78"/>
      <c r="BR80" s="78"/>
      <c r="BS80" s="80"/>
      <c r="BT80" s="80"/>
      <c r="BU80" s="78"/>
      <c r="BV80" s="78"/>
      <c r="BW80" s="78"/>
      <c r="BX80" s="78"/>
      <c r="BY80" s="80"/>
      <c r="BZ80" s="80"/>
      <c r="CA80" s="78"/>
    </row>
    <row r="81" spans="1:79" s="7" customFormat="1">
      <c r="A81" s="78"/>
      <c r="B81" s="78"/>
      <c r="C81" s="78"/>
      <c r="D81" s="78"/>
      <c r="E81" s="78"/>
      <c r="F81" s="78"/>
      <c r="G81" s="78"/>
      <c r="H81" s="78"/>
      <c r="I81" s="80"/>
      <c r="J81" s="80"/>
      <c r="K81" s="11"/>
      <c r="L81" s="80"/>
      <c r="M81" s="78"/>
      <c r="N81" s="78"/>
      <c r="O81" s="78"/>
      <c r="P81" s="78"/>
      <c r="Q81" s="80"/>
      <c r="R81" s="80"/>
      <c r="S81" s="78"/>
      <c r="T81" s="78"/>
      <c r="U81" s="78"/>
      <c r="V81" s="78"/>
      <c r="W81" s="80"/>
      <c r="X81" s="80"/>
      <c r="Y81" s="78"/>
      <c r="Z81" s="78"/>
      <c r="AA81" s="78"/>
      <c r="AB81" s="78"/>
      <c r="AC81" s="80"/>
      <c r="AD81" s="80"/>
      <c r="AE81" s="78"/>
      <c r="AF81" s="78"/>
      <c r="AG81" s="78"/>
      <c r="AH81" s="78"/>
      <c r="AI81" s="80"/>
      <c r="AJ81" s="80"/>
      <c r="AK81" s="78"/>
      <c r="AL81" s="78"/>
      <c r="AM81" s="78"/>
      <c r="AN81" s="78"/>
      <c r="AO81" s="80"/>
      <c r="AP81" s="80"/>
      <c r="AQ81" s="78"/>
      <c r="AR81" s="78"/>
      <c r="AS81" s="78"/>
      <c r="AT81" s="78"/>
      <c r="AU81" s="80"/>
      <c r="AV81" s="80"/>
      <c r="AW81" s="78"/>
      <c r="AX81" s="78"/>
      <c r="AY81" s="78"/>
      <c r="AZ81" s="78"/>
      <c r="BA81" s="80"/>
      <c r="BB81" s="80"/>
      <c r="BC81" s="78"/>
      <c r="BD81" s="78"/>
      <c r="BE81" s="78"/>
      <c r="BF81" s="78"/>
      <c r="BG81" s="80"/>
      <c r="BH81" s="80"/>
      <c r="BI81" s="78"/>
      <c r="BJ81" s="78"/>
      <c r="BK81" s="78"/>
      <c r="BL81" s="78"/>
      <c r="BM81" s="80"/>
      <c r="BN81" s="80"/>
      <c r="BO81" s="78"/>
      <c r="BP81" s="78"/>
      <c r="BQ81" s="78"/>
      <c r="BR81" s="78"/>
      <c r="BS81" s="80"/>
      <c r="BT81" s="80"/>
      <c r="BU81" s="78"/>
      <c r="BV81" s="78"/>
      <c r="BW81" s="78"/>
      <c r="BX81" s="78"/>
      <c r="BY81" s="80"/>
      <c r="BZ81" s="80"/>
      <c r="CA81" s="78"/>
    </row>
    <row r="82" spans="1:79" s="7" customFormat="1">
      <c r="A82" s="78"/>
      <c r="B82" s="78"/>
      <c r="C82" s="78"/>
      <c r="D82" s="78"/>
      <c r="E82" s="78"/>
      <c r="F82" s="78"/>
      <c r="G82" s="78"/>
      <c r="H82" s="91"/>
      <c r="I82" s="80"/>
      <c r="J82" s="80"/>
      <c r="K82" s="80"/>
      <c r="L82" s="80"/>
      <c r="M82" s="78"/>
      <c r="N82" s="78"/>
      <c r="O82" s="78"/>
      <c r="P82" s="78"/>
      <c r="Q82" s="80"/>
      <c r="R82" s="80"/>
      <c r="S82" s="78"/>
      <c r="T82" s="78"/>
      <c r="U82" s="78"/>
      <c r="V82" s="78"/>
      <c r="W82" s="80"/>
      <c r="X82" s="80"/>
      <c r="Y82" s="78"/>
      <c r="Z82" s="78"/>
      <c r="AA82" s="78"/>
      <c r="AB82" s="78"/>
      <c r="AC82" s="80"/>
      <c r="AD82" s="80"/>
      <c r="AE82" s="78"/>
      <c r="AF82" s="78"/>
      <c r="AG82" s="78"/>
      <c r="AH82" s="78"/>
      <c r="AI82" s="80"/>
      <c r="AJ82" s="80"/>
      <c r="AK82" s="78"/>
      <c r="AL82" s="78"/>
      <c r="AM82" s="78"/>
      <c r="AN82" s="78"/>
      <c r="AO82" s="80"/>
      <c r="AP82" s="80"/>
      <c r="AQ82" s="78"/>
      <c r="AR82" s="78"/>
      <c r="AS82" s="78"/>
      <c r="AT82" s="78"/>
      <c r="AU82" s="80"/>
      <c r="AV82" s="80"/>
      <c r="AW82" s="78"/>
      <c r="AX82" s="78"/>
      <c r="AY82" s="78"/>
      <c r="AZ82" s="78"/>
      <c r="BA82" s="80"/>
      <c r="BB82" s="80"/>
      <c r="BC82" s="78"/>
      <c r="BD82" s="78"/>
      <c r="BE82" s="78"/>
      <c r="BF82" s="78"/>
      <c r="BG82" s="80"/>
      <c r="BH82" s="80"/>
      <c r="BI82" s="78"/>
      <c r="BJ82" s="78"/>
      <c r="BK82" s="78"/>
      <c r="BL82" s="78"/>
      <c r="BM82" s="80"/>
      <c r="BN82" s="80"/>
      <c r="BO82" s="78"/>
      <c r="BP82" s="78"/>
      <c r="BQ82" s="78"/>
      <c r="BR82" s="78"/>
      <c r="BS82" s="80"/>
      <c r="BT82" s="80"/>
      <c r="BU82" s="78"/>
      <c r="BV82" s="78"/>
      <c r="BW82" s="78"/>
      <c r="BX82" s="78"/>
      <c r="BY82" s="80"/>
      <c r="BZ82" s="80"/>
      <c r="CA82" s="78"/>
    </row>
    <row r="83" spans="1:79" s="7" customFormat="1">
      <c r="A83" s="78"/>
      <c r="B83" s="78"/>
      <c r="C83" s="78"/>
      <c r="D83" s="78"/>
      <c r="E83" s="78"/>
      <c r="F83" s="78"/>
      <c r="G83" s="78"/>
      <c r="H83" s="91"/>
      <c r="I83" s="80"/>
      <c r="J83" s="80"/>
      <c r="K83" s="80"/>
      <c r="L83" s="80"/>
      <c r="M83" s="78"/>
      <c r="N83" s="78"/>
      <c r="O83" s="78"/>
      <c r="P83" s="78"/>
      <c r="Q83" s="80"/>
      <c r="R83" s="80"/>
      <c r="S83" s="78"/>
      <c r="T83" s="78"/>
      <c r="U83" s="78"/>
      <c r="V83" s="78"/>
      <c r="W83" s="80"/>
      <c r="X83" s="80"/>
      <c r="Y83" s="78"/>
      <c r="Z83" s="78"/>
      <c r="AA83" s="78"/>
      <c r="AB83" s="78"/>
      <c r="AC83" s="80"/>
      <c r="AD83" s="80"/>
      <c r="AE83" s="78"/>
      <c r="AF83" s="78"/>
      <c r="AG83" s="78"/>
      <c r="AH83" s="78"/>
      <c r="AI83" s="80"/>
      <c r="AJ83" s="80"/>
      <c r="AK83" s="78"/>
      <c r="AL83" s="78"/>
      <c r="AM83" s="78"/>
      <c r="AN83" s="78"/>
      <c r="AO83" s="80"/>
      <c r="AP83" s="80"/>
      <c r="AQ83" s="78"/>
      <c r="AR83" s="78"/>
      <c r="AS83" s="78"/>
      <c r="AT83" s="78"/>
      <c r="AU83" s="80"/>
      <c r="AV83" s="80"/>
      <c r="AW83" s="78"/>
      <c r="AX83" s="78"/>
      <c r="AY83" s="78"/>
      <c r="AZ83" s="78"/>
      <c r="BA83" s="80"/>
      <c r="BB83" s="80"/>
      <c r="BC83" s="78"/>
      <c r="BD83" s="78"/>
      <c r="BE83" s="78"/>
      <c r="BF83" s="78"/>
      <c r="BG83" s="80"/>
      <c r="BH83" s="80"/>
      <c r="BI83" s="78"/>
      <c r="BJ83" s="78"/>
      <c r="BK83" s="78"/>
      <c r="BL83" s="78"/>
      <c r="BM83" s="80"/>
      <c r="BN83" s="80"/>
      <c r="BO83" s="78"/>
      <c r="BP83" s="78"/>
      <c r="BQ83" s="78"/>
      <c r="BR83" s="78"/>
      <c r="BS83" s="80"/>
      <c r="BT83" s="80"/>
      <c r="BU83" s="78"/>
      <c r="BV83" s="78"/>
      <c r="BW83" s="78"/>
      <c r="BX83" s="78"/>
      <c r="BY83" s="80"/>
      <c r="BZ83" s="80"/>
      <c r="CA83" s="78"/>
    </row>
    <row r="84" spans="1:79" s="7" customFormat="1">
      <c r="A84" s="78"/>
      <c r="B84" s="78"/>
      <c r="C84" s="78"/>
      <c r="D84" s="78"/>
      <c r="E84" s="78"/>
      <c r="F84" s="78"/>
      <c r="G84" s="78"/>
      <c r="H84" s="78"/>
      <c r="I84" s="80"/>
      <c r="J84" s="80"/>
      <c r="K84" s="80"/>
      <c r="L84" s="80"/>
      <c r="M84" s="78"/>
      <c r="N84" s="78"/>
      <c r="O84" s="78"/>
      <c r="P84" s="78"/>
      <c r="Q84" s="80"/>
      <c r="R84" s="80"/>
      <c r="S84" s="78"/>
      <c r="T84" s="78"/>
      <c r="U84" s="78"/>
      <c r="V84" s="78"/>
      <c r="W84" s="80"/>
      <c r="X84" s="80"/>
      <c r="Y84" s="78"/>
      <c r="Z84" s="78"/>
      <c r="AA84" s="78"/>
      <c r="AB84" s="78"/>
      <c r="AC84" s="80"/>
      <c r="AD84" s="80"/>
      <c r="AE84" s="78"/>
      <c r="AF84" s="78"/>
      <c r="AG84" s="78"/>
      <c r="AH84" s="78"/>
      <c r="AI84" s="80"/>
      <c r="AJ84" s="80"/>
      <c r="AK84" s="78"/>
      <c r="AL84" s="78"/>
      <c r="AM84" s="78"/>
      <c r="AN84" s="78"/>
      <c r="AO84" s="80"/>
      <c r="AP84" s="80"/>
      <c r="AQ84" s="78"/>
      <c r="AR84" s="78"/>
      <c r="AS84" s="78"/>
      <c r="AT84" s="78"/>
      <c r="AU84" s="80"/>
      <c r="AV84" s="80"/>
      <c r="AW84" s="78"/>
      <c r="AX84" s="78"/>
      <c r="AY84" s="78"/>
      <c r="AZ84" s="78"/>
      <c r="BA84" s="80"/>
      <c r="BB84" s="80"/>
      <c r="BC84" s="78"/>
      <c r="BD84" s="78"/>
      <c r="BE84" s="78"/>
      <c r="BF84" s="78"/>
      <c r="BG84" s="80"/>
      <c r="BH84" s="80"/>
      <c r="BI84" s="78"/>
      <c r="BJ84" s="78"/>
      <c r="BK84" s="78"/>
      <c r="BL84" s="78"/>
      <c r="BM84" s="80"/>
      <c r="BN84" s="80"/>
      <c r="BO84" s="78"/>
      <c r="BP84" s="78"/>
      <c r="BQ84" s="78"/>
      <c r="BR84" s="78"/>
      <c r="BS84" s="80"/>
      <c r="BT84" s="80"/>
      <c r="BU84" s="78"/>
      <c r="BV84" s="78"/>
      <c r="BW84" s="78"/>
      <c r="BX84" s="78"/>
      <c r="BY84" s="80"/>
      <c r="BZ84" s="80"/>
      <c r="CA84" s="78"/>
    </row>
    <row r="85" spans="1:79" s="7" customFormat="1">
      <c r="A85" s="78"/>
      <c r="B85" s="78"/>
      <c r="C85" s="78"/>
      <c r="D85" s="78"/>
      <c r="E85" s="78"/>
      <c r="F85" s="78"/>
      <c r="G85" s="78"/>
      <c r="H85" s="92"/>
      <c r="I85" s="80"/>
      <c r="J85" s="80"/>
      <c r="K85" s="80"/>
      <c r="L85" s="80"/>
      <c r="M85" s="78"/>
      <c r="N85" s="78"/>
      <c r="O85" s="78"/>
      <c r="P85" s="78"/>
      <c r="Q85" s="80"/>
      <c r="R85" s="80"/>
      <c r="S85" s="78"/>
      <c r="T85" s="78"/>
      <c r="U85" s="78"/>
      <c r="V85" s="78"/>
      <c r="W85" s="80"/>
      <c r="X85" s="80"/>
      <c r="Y85" s="78"/>
      <c r="Z85" s="78"/>
      <c r="AA85" s="78"/>
      <c r="AB85" s="78"/>
      <c r="AC85" s="80"/>
      <c r="AD85" s="80"/>
      <c r="AE85" s="78"/>
      <c r="AF85" s="78"/>
      <c r="AG85" s="78"/>
      <c r="AH85" s="78"/>
      <c r="AI85" s="80"/>
      <c r="AJ85" s="80"/>
      <c r="AK85" s="78"/>
      <c r="AL85" s="78"/>
      <c r="AM85" s="78"/>
      <c r="AN85" s="78"/>
      <c r="AO85" s="80"/>
      <c r="AP85" s="80"/>
      <c r="AQ85" s="78"/>
      <c r="AR85" s="78"/>
      <c r="AS85" s="78"/>
      <c r="AT85" s="78"/>
      <c r="AU85" s="80"/>
      <c r="AV85" s="80"/>
      <c r="AW85" s="78"/>
      <c r="AX85" s="78"/>
      <c r="AY85" s="78"/>
      <c r="AZ85" s="78"/>
      <c r="BA85" s="80"/>
      <c r="BB85" s="80"/>
      <c r="BC85" s="78"/>
      <c r="BD85" s="78"/>
      <c r="BE85" s="78"/>
      <c r="BF85" s="78"/>
      <c r="BG85" s="80"/>
      <c r="BH85" s="80"/>
      <c r="BI85" s="78"/>
      <c r="BJ85" s="78"/>
      <c r="BK85" s="78"/>
      <c r="BL85" s="78"/>
      <c r="BM85" s="80"/>
      <c r="BN85" s="80"/>
      <c r="BO85" s="78"/>
      <c r="BP85" s="78"/>
      <c r="BQ85" s="78"/>
      <c r="BR85" s="78"/>
      <c r="BS85" s="80"/>
      <c r="BT85" s="80"/>
      <c r="BU85" s="78"/>
      <c r="BV85" s="78"/>
      <c r="BW85" s="78"/>
      <c r="BX85" s="78"/>
      <c r="BY85" s="80"/>
      <c r="BZ85" s="80"/>
      <c r="CA85" s="78"/>
    </row>
    <row r="86" spans="1:79">
      <c r="A86" s="78"/>
      <c r="B86" s="78"/>
      <c r="C86" s="78"/>
      <c r="D86" s="78"/>
      <c r="E86" s="78"/>
      <c r="F86" s="78"/>
      <c r="G86" s="78"/>
      <c r="H86" s="92"/>
      <c r="I86" s="80"/>
      <c r="J86" s="80"/>
      <c r="K86" s="80"/>
      <c r="L86" s="80"/>
      <c r="M86" s="78"/>
      <c r="N86" s="78"/>
      <c r="O86" s="78"/>
      <c r="P86" s="78"/>
      <c r="Q86" s="80"/>
      <c r="R86" s="80"/>
      <c r="S86" s="78"/>
      <c r="T86" s="78"/>
      <c r="U86" s="78"/>
      <c r="V86" s="78"/>
      <c r="W86" s="80"/>
      <c r="X86" s="80"/>
      <c r="Y86" s="78"/>
      <c r="Z86" s="78"/>
      <c r="AA86" s="78"/>
      <c r="AB86" s="78"/>
      <c r="AC86" s="80"/>
      <c r="AD86" s="80"/>
      <c r="AE86" s="78"/>
      <c r="AF86" s="78"/>
      <c r="AG86" s="78"/>
      <c r="AH86" s="78"/>
      <c r="AI86" s="80"/>
      <c r="AJ86" s="80"/>
      <c r="AK86" s="78"/>
      <c r="AL86" s="78"/>
      <c r="AM86" s="78"/>
      <c r="AN86" s="78"/>
      <c r="AO86" s="80"/>
      <c r="AP86" s="80"/>
      <c r="AQ86" s="78"/>
      <c r="AR86" s="78"/>
      <c r="AS86" s="78"/>
      <c r="AT86" s="78"/>
      <c r="AU86" s="80"/>
      <c r="AV86" s="80"/>
      <c r="AW86" s="78"/>
      <c r="AX86" s="78"/>
      <c r="AY86" s="78"/>
      <c r="AZ86" s="78"/>
      <c r="BA86" s="80"/>
      <c r="BB86" s="80"/>
      <c r="BC86" s="78"/>
      <c r="BD86" s="78"/>
      <c r="BE86" s="78"/>
      <c r="BF86" s="78"/>
      <c r="BG86" s="80"/>
      <c r="BH86" s="80"/>
      <c r="BI86" s="78"/>
      <c r="BJ86" s="78"/>
      <c r="BK86" s="78"/>
      <c r="BL86" s="78"/>
      <c r="BM86" s="80"/>
      <c r="BN86" s="80"/>
      <c r="BO86" s="78"/>
      <c r="BP86" s="78"/>
      <c r="BQ86" s="78"/>
      <c r="BR86" s="78"/>
      <c r="BS86" s="80"/>
      <c r="BT86" s="80"/>
      <c r="BU86" s="78"/>
      <c r="BV86" s="78"/>
      <c r="BW86" s="78"/>
      <c r="BX86" s="78"/>
      <c r="BY86" s="80"/>
      <c r="BZ86" s="80"/>
      <c r="CA86" s="78"/>
    </row>
    <row r="87" spans="1:79">
      <c r="A87" s="78"/>
      <c r="B87" s="78"/>
      <c r="C87" s="78"/>
      <c r="D87" s="78"/>
      <c r="E87" s="78"/>
      <c r="F87" s="78"/>
      <c r="G87" s="78"/>
      <c r="H87" s="91"/>
      <c r="I87" s="80"/>
      <c r="J87" s="80"/>
      <c r="K87" s="11"/>
      <c r="L87" s="80"/>
      <c r="M87" s="78"/>
      <c r="N87" s="78"/>
      <c r="O87" s="78"/>
      <c r="P87" s="78"/>
      <c r="Q87" s="80"/>
      <c r="R87" s="80"/>
      <c r="S87" s="78"/>
      <c r="T87" s="78"/>
      <c r="U87" s="78"/>
      <c r="V87" s="78"/>
      <c r="W87" s="80"/>
      <c r="X87" s="80"/>
      <c r="Y87" s="78"/>
      <c r="Z87" s="78"/>
      <c r="AA87" s="78"/>
      <c r="AB87" s="78"/>
      <c r="AC87" s="80"/>
      <c r="AD87" s="80"/>
      <c r="AE87" s="78"/>
      <c r="AF87" s="78"/>
      <c r="AG87" s="78"/>
      <c r="AH87" s="78"/>
      <c r="AI87" s="80"/>
      <c r="AJ87" s="80"/>
      <c r="AK87" s="78"/>
      <c r="AL87" s="78"/>
      <c r="AM87" s="78"/>
      <c r="AN87" s="78"/>
      <c r="AO87" s="80"/>
      <c r="AP87" s="80"/>
      <c r="AQ87" s="78"/>
      <c r="AR87" s="78"/>
      <c r="AS87" s="78"/>
      <c r="AT87" s="78"/>
      <c r="AU87" s="80"/>
      <c r="AV87" s="80"/>
      <c r="AW87" s="78"/>
      <c r="AX87" s="78"/>
      <c r="AY87" s="78"/>
      <c r="AZ87" s="78"/>
      <c r="BA87" s="80"/>
      <c r="BB87" s="80"/>
      <c r="BC87" s="78"/>
      <c r="BD87" s="78"/>
      <c r="BE87" s="78"/>
      <c r="BF87" s="78"/>
      <c r="BG87" s="80"/>
      <c r="BH87" s="80"/>
      <c r="BI87" s="78"/>
      <c r="BJ87" s="78"/>
      <c r="BK87" s="78"/>
      <c r="BL87" s="78"/>
      <c r="BM87" s="80"/>
      <c r="BN87" s="80"/>
      <c r="BO87" s="78"/>
      <c r="BP87" s="78"/>
      <c r="BQ87" s="78"/>
      <c r="BR87" s="78"/>
      <c r="BS87" s="80"/>
      <c r="BT87" s="80"/>
      <c r="BU87" s="78"/>
      <c r="BV87" s="78"/>
      <c r="BW87" s="78"/>
      <c r="BX87" s="78"/>
      <c r="BY87" s="80"/>
      <c r="BZ87" s="80"/>
      <c r="CA87" s="78"/>
    </row>
    <row r="88" spans="1:79">
      <c r="A88" s="78"/>
      <c r="B88" s="78"/>
      <c r="C88" s="78"/>
      <c r="D88" s="78"/>
      <c r="E88" s="78"/>
      <c r="F88" s="78"/>
      <c r="G88" s="78"/>
      <c r="H88" s="91"/>
      <c r="I88" s="80"/>
      <c r="J88" s="80"/>
      <c r="K88" s="11"/>
      <c r="L88" s="80"/>
      <c r="M88" s="78"/>
      <c r="N88" s="78"/>
      <c r="O88" s="78"/>
      <c r="P88" s="78"/>
      <c r="Q88" s="80"/>
      <c r="R88" s="80"/>
      <c r="S88" s="78"/>
      <c r="T88" s="78"/>
      <c r="U88" s="78"/>
      <c r="V88" s="78"/>
      <c r="W88" s="80"/>
      <c r="X88" s="80"/>
      <c r="Y88" s="78"/>
      <c r="Z88" s="78"/>
      <c r="AA88" s="78"/>
      <c r="AB88" s="78"/>
      <c r="AC88" s="80"/>
      <c r="AD88" s="80"/>
      <c r="AE88" s="78"/>
      <c r="AF88" s="78"/>
      <c r="AG88" s="78"/>
      <c r="AH88" s="78"/>
      <c r="AI88" s="80"/>
      <c r="AJ88" s="80"/>
      <c r="AK88" s="78"/>
      <c r="AL88" s="78"/>
      <c r="AM88" s="78"/>
      <c r="AN88" s="78"/>
      <c r="AO88" s="80"/>
      <c r="AP88" s="80"/>
      <c r="AQ88" s="78"/>
      <c r="AR88" s="78"/>
      <c r="AS88" s="78"/>
      <c r="AT88" s="78"/>
      <c r="AU88" s="80"/>
      <c r="AV88" s="80"/>
      <c r="AW88" s="78"/>
      <c r="AX88" s="78"/>
      <c r="AY88" s="78"/>
      <c r="AZ88" s="78"/>
      <c r="BA88" s="80"/>
      <c r="BB88" s="80"/>
      <c r="BC88" s="78"/>
      <c r="BD88" s="78"/>
      <c r="BE88" s="78"/>
      <c r="BF88" s="78"/>
      <c r="BG88" s="80"/>
      <c r="BH88" s="80"/>
      <c r="BI88" s="78"/>
      <c r="BJ88" s="78"/>
      <c r="BK88" s="78"/>
      <c r="BL88" s="78"/>
      <c r="BM88" s="80"/>
      <c r="BN88" s="80"/>
      <c r="BO88" s="78"/>
      <c r="BP88" s="78"/>
      <c r="BQ88" s="78"/>
      <c r="BR88" s="78"/>
      <c r="BS88" s="80"/>
      <c r="BT88" s="80"/>
      <c r="BU88" s="78"/>
      <c r="BV88" s="78"/>
      <c r="BW88" s="78"/>
      <c r="BX88" s="78"/>
      <c r="BY88" s="80"/>
      <c r="BZ88" s="80"/>
      <c r="CA88" s="78"/>
    </row>
    <row r="89" spans="1:79">
      <c r="A89" s="78"/>
      <c r="B89" s="78"/>
      <c r="C89" s="78"/>
      <c r="D89" s="78"/>
      <c r="E89" s="78"/>
      <c r="F89" s="78"/>
      <c r="G89" s="78"/>
      <c r="H89" s="91"/>
      <c r="I89" s="80"/>
      <c r="J89" s="80"/>
      <c r="K89" s="11"/>
      <c r="L89" s="80"/>
      <c r="M89" s="78"/>
      <c r="N89" s="78"/>
      <c r="O89" s="78"/>
      <c r="P89" s="78"/>
      <c r="Q89" s="80"/>
      <c r="R89" s="80"/>
      <c r="S89" s="78"/>
      <c r="T89" s="78"/>
      <c r="U89" s="78"/>
      <c r="V89" s="78"/>
      <c r="W89" s="80"/>
      <c r="X89" s="80"/>
      <c r="Y89" s="78"/>
      <c r="Z89" s="78"/>
      <c r="AA89" s="78"/>
      <c r="AB89" s="78"/>
      <c r="AC89" s="80"/>
      <c r="AD89" s="80"/>
      <c r="AE89" s="78"/>
      <c r="AF89" s="78"/>
      <c r="AG89" s="78"/>
      <c r="AH89" s="78"/>
      <c r="AI89" s="80"/>
      <c r="AJ89" s="80"/>
      <c r="AK89" s="78"/>
      <c r="AL89" s="78"/>
      <c r="AM89" s="78"/>
      <c r="AN89" s="78"/>
      <c r="AO89" s="80"/>
      <c r="AP89" s="80"/>
      <c r="AQ89" s="78"/>
      <c r="AR89" s="78"/>
      <c r="AS89" s="78"/>
      <c r="AT89" s="78"/>
      <c r="AU89" s="80"/>
      <c r="AV89" s="80"/>
      <c r="AW89" s="78"/>
      <c r="AX89" s="78"/>
      <c r="AY89" s="78"/>
      <c r="AZ89" s="78"/>
      <c r="BA89" s="80"/>
      <c r="BB89" s="80"/>
      <c r="BC89" s="78"/>
      <c r="BD89" s="78"/>
      <c r="BE89" s="78"/>
      <c r="BF89" s="78"/>
      <c r="BG89" s="80"/>
      <c r="BH89" s="80"/>
      <c r="BI89" s="78"/>
      <c r="BJ89" s="78"/>
      <c r="BK89" s="78"/>
      <c r="BL89" s="78"/>
      <c r="BM89" s="80"/>
      <c r="BN89" s="80"/>
      <c r="BO89" s="78"/>
      <c r="BP89" s="78"/>
      <c r="BQ89" s="78"/>
      <c r="BR89" s="78"/>
      <c r="BS89" s="80"/>
      <c r="BT89" s="80"/>
      <c r="BU89" s="78"/>
      <c r="BV89" s="78"/>
      <c r="BW89" s="78"/>
      <c r="BX89" s="78"/>
      <c r="BY89" s="80"/>
      <c r="BZ89" s="80"/>
      <c r="CA89" s="78"/>
    </row>
    <row r="90" spans="1:79">
      <c r="A90" s="78"/>
      <c r="B90" s="78"/>
      <c r="C90" s="78"/>
      <c r="D90" s="78"/>
      <c r="E90" s="78"/>
      <c r="F90" s="78"/>
      <c r="G90" s="78"/>
      <c r="H90" s="78"/>
      <c r="I90" s="80"/>
      <c r="J90" s="80"/>
      <c r="K90" s="11"/>
      <c r="L90" s="80"/>
      <c r="M90" s="78"/>
      <c r="N90" s="78"/>
      <c r="O90" s="78"/>
      <c r="P90" s="78"/>
      <c r="Q90" s="80"/>
      <c r="R90" s="80"/>
      <c r="S90" s="78"/>
      <c r="T90" s="78"/>
      <c r="U90" s="78"/>
      <c r="V90" s="78"/>
      <c r="W90" s="80"/>
      <c r="X90" s="80"/>
      <c r="Y90" s="78"/>
      <c r="Z90" s="78"/>
      <c r="AA90" s="78"/>
      <c r="AB90" s="78"/>
      <c r="AC90" s="80"/>
      <c r="AD90" s="80"/>
      <c r="AE90" s="78"/>
      <c r="AF90" s="78"/>
      <c r="AG90" s="78"/>
      <c r="AH90" s="78"/>
      <c r="AI90" s="80"/>
      <c r="AJ90" s="80"/>
      <c r="AK90" s="78"/>
      <c r="AL90" s="78"/>
      <c r="AM90" s="78"/>
      <c r="AN90" s="78"/>
      <c r="AO90" s="80"/>
      <c r="AP90" s="80"/>
      <c r="AQ90" s="78"/>
      <c r="AR90" s="78"/>
      <c r="AS90" s="78"/>
      <c r="AT90" s="78"/>
      <c r="AU90" s="80"/>
      <c r="AV90" s="80"/>
      <c r="AW90" s="78"/>
      <c r="AX90" s="78"/>
      <c r="AY90" s="78"/>
      <c r="AZ90" s="78"/>
      <c r="BA90" s="80"/>
      <c r="BB90" s="80"/>
      <c r="BC90" s="78"/>
      <c r="BD90" s="78"/>
      <c r="BE90" s="78"/>
      <c r="BF90" s="78"/>
      <c r="BG90" s="80"/>
      <c r="BH90" s="80"/>
      <c r="BI90" s="78"/>
      <c r="BJ90" s="78"/>
      <c r="BK90" s="78"/>
      <c r="BL90" s="78"/>
      <c r="BM90" s="80"/>
      <c r="BN90" s="80"/>
      <c r="BO90" s="78"/>
      <c r="BP90" s="78"/>
      <c r="BQ90" s="78"/>
      <c r="BR90" s="78"/>
      <c r="BS90" s="80"/>
      <c r="BT90" s="80"/>
      <c r="BU90" s="78"/>
      <c r="BV90" s="78"/>
      <c r="BW90" s="78"/>
      <c r="BX90" s="78"/>
      <c r="BY90" s="80"/>
      <c r="BZ90" s="80"/>
      <c r="CA90" s="78"/>
    </row>
    <row r="91" spans="1:79">
      <c r="A91" s="78"/>
      <c r="B91" s="78"/>
      <c r="C91" s="78"/>
      <c r="D91" s="78"/>
      <c r="E91" s="78"/>
      <c r="F91" s="78"/>
      <c r="G91" s="78"/>
      <c r="H91" s="92"/>
      <c r="I91" s="80"/>
      <c r="J91" s="80"/>
      <c r="K91" s="11"/>
      <c r="L91" s="80"/>
      <c r="M91" s="78"/>
      <c r="N91" s="78"/>
      <c r="O91" s="78"/>
      <c r="P91" s="78"/>
      <c r="Q91" s="80"/>
      <c r="R91" s="80"/>
      <c r="S91" s="78"/>
      <c r="T91" s="78"/>
      <c r="U91" s="78"/>
      <c r="V91" s="78"/>
      <c r="W91" s="80"/>
      <c r="X91" s="80"/>
      <c r="Y91" s="78"/>
      <c r="Z91" s="78"/>
      <c r="AA91" s="78"/>
      <c r="AB91" s="78"/>
      <c r="AC91" s="80"/>
      <c r="AD91" s="80"/>
      <c r="AE91" s="78"/>
      <c r="AF91" s="78"/>
      <c r="AG91" s="78"/>
      <c r="AH91" s="78"/>
      <c r="AI91" s="80"/>
      <c r="AJ91" s="80"/>
      <c r="AK91" s="78"/>
      <c r="AL91" s="78"/>
      <c r="AM91" s="78"/>
      <c r="AN91" s="78"/>
      <c r="AO91" s="80"/>
      <c r="AP91" s="80"/>
      <c r="AQ91" s="78"/>
      <c r="AR91" s="78"/>
      <c r="AS91" s="78"/>
      <c r="AT91" s="78"/>
      <c r="AU91" s="80"/>
      <c r="AV91" s="80"/>
      <c r="AW91" s="78"/>
      <c r="AX91" s="78"/>
      <c r="AY91" s="78"/>
      <c r="AZ91" s="78"/>
      <c r="BA91" s="80"/>
      <c r="BB91" s="80"/>
      <c r="BC91" s="78"/>
      <c r="BD91" s="78"/>
      <c r="BE91" s="78"/>
      <c r="BF91" s="78"/>
      <c r="BG91" s="80"/>
      <c r="BH91" s="80"/>
      <c r="BI91" s="78"/>
      <c r="BJ91" s="78"/>
      <c r="BK91" s="78"/>
      <c r="BL91" s="78"/>
      <c r="BM91" s="80"/>
      <c r="BN91" s="80"/>
      <c r="BO91" s="78"/>
      <c r="BP91" s="78"/>
      <c r="BQ91" s="78"/>
      <c r="BR91" s="78"/>
      <c r="BS91" s="80"/>
      <c r="BT91" s="80"/>
      <c r="BU91" s="78"/>
      <c r="BV91" s="78"/>
      <c r="BW91" s="78"/>
      <c r="BX91" s="78"/>
      <c r="BY91" s="80"/>
      <c r="BZ91" s="80"/>
      <c r="CA91" s="78"/>
    </row>
    <row r="92" spans="1:79">
      <c r="A92" s="78"/>
      <c r="B92" s="78"/>
      <c r="C92" s="78"/>
      <c r="D92" s="78"/>
      <c r="E92" s="78"/>
      <c r="F92" s="78"/>
      <c r="G92" s="78"/>
      <c r="H92" s="78"/>
      <c r="I92" s="80"/>
      <c r="J92" s="80"/>
      <c r="K92" s="11"/>
      <c r="L92" s="80"/>
      <c r="M92" s="78"/>
      <c r="N92" s="78"/>
      <c r="O92" s="78"/>
      <c r="P92" s="78"/>
      <c r="Q92" s="80"/>
      <c r="R92" s="80"/>
      <c r="S92" s="78"/>
      <c r="T92" s="78"/>
      <c r="U92" s="78"/>
      <c r="V92" s="78"/>
      <c r="W92" s="80"/>
      <c r="X92" s="80"/>
      <c r="Y92" s="78"/>
      <c r="Z92" s="78"/>
      <c r="AA92" s="78"/>
      <c r="AB92" s="78"/>
      <c r="AC92" s="80"/>
      <c r="AD92" s="80"/>
      <c r="AE92" s="78"/>
      <c r="AF92" s="78"/>
      <c r="AG92" s="78"/>
      <c r="AH92" s="78"/>
      <c r="AI92" s="80"/>
      <c r="AJ92" s="80"/>
      <c r="AK92" s="78"/>
      <c r="AL92" s="78"/>
      <c r="AM92" s="78"/>
      <c r="AN92" s="78"/>
      <c r="AO92" s="80"/>
      <c r="AP92" s="80"/>
      <c r="AQ92" s="78"/>
      <c r="AR92" s="78"/>
      <c r="AS92" s="78"/>
      <c r="AT92" s="78"/>
      <c r="AU92" s="80"/>
      <c r="AV92" s="80"/>
      <c r="AW92" s="78"/>
      <c r="AX92" s="78"/>
      <c r="AY92" s="78"/>
      <c r="AZ92" s="78"/>
      <c r="BA92" s="80"/>
      <c r="BB92" s="80"/>
      <c r="BC92" s="78"/>
      <c r="BD92" s="78"/>
      <c r="BE92" s="78"/>
      <c r="BF92" s="78"/>
      <c r="BG92" s="80"/>
      <c r="BH92" s="80"/>
      <c r="BI92" s="78"/>
      <c r="BJ92" s="78"/>
      <c r="BK92" s="78"/>
      <c r="BL92" s="78"/>
      <c r="BM92" s="80"/>
      <c r="BN92" s="80"/>
      <c r="BO92" s="78"/>
      <c r="BP92" s="78"/>
      <c r="BQ92" s="78"/>
      <c r="BR92" s="78"/>
      <c r="BS92" s="80"/>
      <c r="BT92" s="80"/>
      <c r="BU92" s="78"/>
      <c r="BV92" s="78"/>
      <c r="BW92" s="78"/>
      <c r="BX92" s="78"/>
      <c r="BY92" s="80"/>
      <c r="BZ92" s="80"/>
      <c r="CA92" s="78"/>
    </row>
    <row r="93" spans="1:79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78"/>
      <c r="M93" s="8"/>
      <c r="N93" s="8"/>
      <c r="O93" s="8"/>
      <c r="P93" s="8"/>
      <c r="Q93" s="78"/>
      <c r="R93" s="78"/>
      <c r="S93" s="8"/>
      <c r="T93" s="8"/>
      <c r="U93" s="8"/>
      <c r="V93" s="8"/>
      <c r="W93" s="78"/>
      <c r="X93" s="78"/>
      <c r="Y93" s="8"/>
      <c r="Z93" s="8"/>
      <c r="AA93" s="8"/>
      <c r="AB93" s="8"/>
      <c r="AC93" s="78"/>
      <c r="AD93" s="78"/>
      <c r="AE93" s="8"/>
      <c r="AF93" s="8"/>
      <c r="AG93" s="8"/>
      <c r="AH93" s="8"/>
      <c r="AI93" s="78"/>
      <c r="AJ93" s="78"/>
      <c r="AK93" s="8"/>
      <c r="AL93" s="8"/>
      <c r="AM93" s="8"/>
      <c r="AN93" s="8"/>
      <c r="AO93" s="78"/>
      <c r="AP93" s="78"/>
      <c r="AQ93" s="8"/>
      <c r="AR93" s="8"/>
      <c r="AS93" s="8"/>
      <c r="AT93" s="8"/>
      <c r="AU93" s="78"/>
      <c r="AV93" s="78"/>
      <c r="AW93" s="8"/>
      <c r="AX93" s="8"/>
      <c r="AY93" s="8"/>
      <c r="AZ93" s="8"/>
      <c r="BA93" s="78"/>
      <c r="BB93" s="78"/>
      <c r="BC93" s="8"/>
      <c r="BD93" s="8"/>
      <c r="BE93" s="8"/>
      <c r="BF93" s="8"/>
      <c r="BG93" s="78"/>
      <c r="BH93" s="78"/>
      <c r="BI93" s="8"/>
      <c r="BJ93" s="8"/>
      <c r="BK93" s="8"/>
      <c r="BL93" s="8"/>
      <c r="BM93" s="78"/>
      <c r="BN93" s="78"/>
      <c r="BO93" s="8"/>
      <c r="BP93" s="8"/>
      <c r="BQ93" s="8"/>
      <c r="BR93" s="8"/>
      <c r="BS93" s="78"/>
      <c r="BT93" s="78"/>
      <c r="BU93" s="8"/>
      <c r="BV93" s="8"/>
      <c r="BW93" s="8"/>
      <c r="BX93" s="8"/>
      <c r="BY93" s="78"/>
      <c r="BZ93" s="78"/>
      <c r="CA93" s="8"/>
    </row>
    <row r="94" spans="1:79">
      <c r="I94" s="79"/>
      <c r="J94" s="79"/>
      <c r="K94" s="11"/>
      <c r="L94" s="11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107">
        <f>BT85-BT91</f>
        <v>0</v>
      </c>
      <c r="BU94" s="79"/>
      <c r="BV94" s="79"/>
      <c r="BW94" s="79"/>
      <c r="BX94" s="79"/>
      <c r="BY94" s="79"/>
      <c r="BZ94" s="107">
        <f>BZ85-BZ91</f>
        <v>0</v>
      </c>
      <c r="CA94" s="79"/>
    </row>
    <row r="95" spans="1:79">
      <c r="K95" s="11"/>
      <c r="L95" s="11"/>
      <c r="BT95" s="6">
        <f>BT86-BT92</f>
        <v>0</v>
      </c>
      <c r="BZ95" s="6">
        <f>BZ86-BZ92</f>
        <v>0</v>
      </c>
    </row>
    <row r="96" spans="1:79">
      <c r="K96" s="11"/>
      <c r="L96" s="11"/>
      <c r="BS96" s="6"/>
      <c r="BY96" s="6"/>
    </row>
    <row r="97" spans="71:77">
      <c r="BS97" s="6"/>
      <c r="BY97" s="6"/>
    </row>
    <row r="99" spans="71:77">
      <c r="BS99" s="6"/>
      <c r="BY99" s="6"/>
    </row>
    <row r="100" spans="71:77">
      <c r="BS100" s="6"/>
      <c r="BY100" s="6"/>
    </row>
  </sheetData>
  <mergeCells count="80">
    <mergeCell ref="BV4:BX4"/>
    <mergeCell ref="BY4:CA4"/>
    <mergeCell ref="BP4:BR4"/>
    <mergeCell ref="BS4:BU4"/>
    <mergeCell ref="BJ4:BL4"/>
    <mergeCell ref="BM4:BO4"/>
    <mergeCell ref="A6:A8"/>
    <mergeCell ref="AF4:AH4"/>
    <mergeCell ref="AI4:AK4"/>
    <mergeCell ref="Z4:AB4"/>
    <mergeCell ref="AC4:AE4"/>
    <mergeCell ref="H4:H5"/>
    <mergeCell ref="G4:G5"/>
    <mergeCell ref="F4:F5"/>
    <mergeCell ref="I4:I5"/>
    <mergeCell ref="D4:D5"/>
    <mergeCell ref="E4:E5"/>
    <mergeCell ref="T4:V4"/>
    <mergeCell ref="B6:B8"/>
    <mergeCell ref="A9:A11"/>
    <mergeCell ref="B9:B11"/>
    <mergeCell ref="A21:A23"/>
    <mergeCell ref="B21:B23"/>
    <mergeCell ref="A18:A20"/>
    <mergeCell ref="B18:B20"/>
    <mergeCell ref="B15:B17"/>
    <mergeCell ref="A12:A14"/>
    <mergeCell ref="B12:B14"/>
    <mergeCell ref="A15:A17"/>
    <mergeCell ref="B30:B32"/>
    <mergeCell ref="A33:A35"/>
    <mergeCell ref="B33:B35"/>
    <mergeCell ref="A30:A32"/>
    <mergeCell ref="A24:A26"/>
    <mergeCell ref="B24:B26"/>
    <mergeCell ref="A27:A29"/>
    <mergeCell ref="B27:B29"/>
    <mergeCell ref="A75:B77"/>
    <mergeCell ref="B69:B71"/>
    <mergeCell ref="A54:A56"/>
    <mergeCell ref="B54:B56"/>
    <mergeCell ref="A57:A59"/>
    <mergeCell ref="B57:B59"/>
    <mergeCell ref="A60:A62"/>
    <mergeCell ref="B60:B62"/>
    <mergeCell ref="B72:B74"/>
    <mergeCell ref="A63:A65"/>
    <mergeCell ref="B63:B65"/>
    <mergeCell ref="A66:A68"/>
    <mergeCell ref="A69:A71"/>
    <mergeCell ref="A72:A74"/>
    <mergeCell ref="B66:B68"/>
    <mergeCell ref="A51:A53"/>
    <mergeCell ref="B48:B50"/>
    <mergeCell ref="A36:A38"/>
    <mergeCell ref="B36:B38"/>
    <mergeCell ref="A42:A44"/>
    <mergeCell ref="A45:A47"/>
    <mergeCell ref="B45:B47"/>
    <mergeCell ref="B42:B44"/>
    <mergeCell ref="A39:A41"/>
    <mergeCell ref="B39:B41"/>
    <mergeCell ref="B51:B53"/>
    <mergeCell ref="A48:A50"/>
    <mergeCell ref="BG4:BI4"/>
    <mergeCell ref="A1:C2"/>
    <mergeCell ref="B3:C3"/>
    <mergeCell ref="A4:C5"/>
    <mergeCell ref="AL4:AN4"/>
    <mergeCell ref="N4:P4"/>
    <mergeCell ref="Q4:S4"/>
    <mergeCell ref="W4:Y4"/>
    <mergeCell ref="K4:M4"/>
    <mergeCell ref="J4:J5"/>
    <mergeCell ref="AR4:AT4"/>
    <mergeCell ref="AU4:AW4"/>
    <mergeCell ref="AO4:AQ4"/>
    <mergeCell ref="AX4:AZ4"/>
    <mergeCell ref="BA4:BC4"/>
    <mergeCell ref="BD4:BF4"/>
  </mergeCells>
  <phoneticPr fontId="1" type="noConversion"/>
  <printOptions horizontalCentered="1"/>
  <pageMargins left="0.11811023622047245" right="0.11811023622047245" top="0.59055118110236227" bottom="0.55118110236220474" header="0.31496062992125984" footer="0.31496062992125984"/>
  <pageSetup paperSize="9" scale="75" orientation="portrait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B9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sqref="A1:C2"/>
    </sheetView>
  </sheetViews>
  <sheetFormatPr defaultRowHeight="16.5"/>
  <cols>
    <col min="1" max="3" width="10.625" customWidth="1"/>
    <col min="4" max="4" width="12.625" hidden="1" customWidth="1"/>
    <col min="5" max="9" width="14.25" hidden="1" customWidth="1"/>
    <col min="10" max="10" width="14.25" customWidth="1"/>
    <col min="11" max="12" width="14.25" hidden="1" customWidth="1"/>
    <col min="13" max="13" width="9" hidden="1" customWidth="1"/>
    <col min="14" max="15" width="14.25" hidden="1" customWidth="1"/>
    <col min="16" max="16" width="9" hidden="1" customWidth="1"/>
    <col min="17" max="18" width="14.25" hidden="1" customWidth="1"/>
    <col min="19" max="19" width="9" hidden="1" customWidth="1"/>
    <col min="20" max="21" width="14.25" hidden="1" customWidth="1"/>
    <col min="22" max="22" width="9" hidden="1" customWidth="1"/>
    <col min="23" max="24" width="14.25" hidden="1" customWidth="1"/>
    <col min="25" max="25" width="9" hidden="1" customWidth="1"/>
    <col min="26" max="27" width="14.25" hidden="1" customWidth="1"/>
    <col min="28" max="28" width="9" hidden="1" customWidth="1"/>
    <col min="29" max="30" width="14.25" hidden="1" customWidth="1"/>
    <col min="31" max="31" width="9" hidden="1" customWidth="1"/>
    <col min="32" max="33" width="14.25" hidden="1" customWidth="1"/>
    <col min="34" max="34" width="9" hidden="1" customWidth="1"/>
    <col min="35" max="36" width="14.25" hidden="1" customWidth="1"/>
    <col min="37" max="37" width="9" hidden="1" customWidth="1"/>
    <col min="38" max="39" width="14.25" hidden="1" customWidth="1"/>
    <col min="40" max="40" width="9" hidden="1" customWidth="1"/>
    <col min="41" max="42" width="14.25" hidden="1" customWidth="1"/>
    <col min="43" max="43" width="9" hidden="1" customWidth="1"/>
    <col min="44" max="45" width="14.25" hidden="1" customWidth="1"/>
    <col min="46" max="46" width="9" hidden="1" customWidth="1"/>
    <col min="47" max="48" width="14.25" hidden="1" customWidth="1"/>
    <col min="49" max="49" width="9" hidden="1" customWidth="1"/>
    <col min="50" max="51" width="14.25" hidden="1" customWidth="1"/>
    <col min="52" max="52" width="9" hidden="1" customWidth="1"/>
    <col min="53" max="54" width="14.25" hidden="1" customWidth="1"/>
    <col min="55" max="55" width="9" hidden="1" customWidth="1"/>
    <col min="56" max="57" width="14.25" hidden="1" customWidth="1"/>
    <col min="58" max="58" width="9" hidden="1" customWidth="1"/>
    <col min="59" max="60" width="14.25" hidden="1" customWidth="1"/>
    <col min="61" max="61" width="9" hidden="1" customWidth="1"/>
    <col min="62" max="63" width="14.25" hidden="1" customWidth="1"/>
    <col min="64" max="64" width="9" hidden="1" customWidth="1"/>
    <col min="65" max="66" width="14.25" hidden="1" customWidth="1"/>
    <col min="67" max="67" width="9" hidden="1" customWidth="1"/>
    <col min="68" max="69" width="14.25" hidden="1" customWidth="1"/>
    <col min="70" max="70" width="9" hidden="1" customWidth="1"/>
    <col min="71" max="72" width="14.25" hidden="1" customWidth="1"/>
    <col min="73" max="73" width="9" hidden="1" customWidth="1"/>
    <col min="74" max="75" width="14.25" customWidth="1"/>
    <col min="76" max="76" width="9" customWidth="1"/>
    <col min="77" max="78" width="14.25" customWidth="1"/>
    <col min="79" max="79" width="9" customWidth="1"/>
  </cols>
  <sheetData>
    <row r="1" spans="1:80">
      <c r="A1" s="158" t="s">
        <v>49</v>
      </c>
      <c r="B1" s="159"/>
      <c r="C1" s="160"/>
    </row>
    <row r="2" spans="1:80" ht="17.25" thickBot="1">
      <c r="A2" s="161"/>
      <c r="B2" s="162"/>
      <c r="C2" s="163"/>
    </row>
    <row r="3" spans="1:80">
      <c r="B3" s="192" t="s">
        <v>40</v>
      </c>
      <c r="C3" s="192"/>
    </row>
    <row r="4" spans="1:80" s="3" customFormat="1">
      <c r="A4" s="145"/>
      <c r="B4" s="146"/>
      <c r="C4" s="147"/>
      <c r="D4" s="112" t="s">
        <v>0</v>
      </c>
      <c r="E4" s="112" t="s">
        <v>1</v>
      </c>
      <c r="F4" s="112" t="s">
        <v>157</v>
      </c>
      <c r="G4" s="112" t="s">
        <v>158</v>
      </c>
      <c r="H4" s="112" t="s">
        <v>39</v>
      </c>
      <c r="I4" s="112" t="s">
        <v>41</v>
      </c>
      <c r="J4" s="112" t="s">
        <v>43</v>
      </c>
      <c r="K4" s="110" t="s">
        <v>2</v>
      </c>
      <c r="L4" s="110"/>
      <c r="M4" s="111"/>
      <c r="N4" s="109" t="s">
        <v>3</v>
      </c>
      <c r="O4" s="110"/>
      <c r="P4" s="111"/>
      <c r="Q4" s="109" t="s">
        <v>4</v>
      </c>
      <c r="R4" s="110"/>
      <c r="S4" s="111"/>
      <c r="T4" s="109" t="s">
        <v>188</v>
      </c>
      <c r="U4" s="110"/>
      <c r="V4" s="111"/>
      <c r="W4" s="109" t="s">
        <v>189</v>
      </c>
      <c r="X4" s="110"/>
      <c r="Y4" s="111"/>
      <c r="Z4" s="109" t="s">
        <v>194</v>
      </c>
      <c r="AA4" s="110"/>
      <c r="AB4" s="111"/>
      <c r="AC4" s="109" t="s">
        <v>195</v>
      </c>
      <c r="AD4" s="110"/>
      <c r="AE4" s="111"/>
      <c r="AF4" s="109" t="s">
        <v>198</v>
      </c>
      <c r="AG4" s="110"/>
      <c r="AH4" s="111"/>
      <c r="AI4" s="109" t="s">
        <v>199</v>
      </c>
      <c r="AJ4" s="110"/>
      <c r="AK4" s="111"/>
      <c r="AL4" s="109" t="s">
        <v>202</v>
      </c>
      <c r="AM4" s="110"/>
      <c r="AN4" s="111"/>
      <c r="AO4" s="109" t="s">
        <v>203</v>
      </c>
      <c r="AP4" s="110"/>
      <c r="AQ4" s="111"/>
      <c r="AR4" s="109" t="s">
        <v>206</v>
      </c>
      <c r="AS4" s="110"/>
      <c r="AT4" s="111"/>
      <c r="AU4" s="109" t="s">
        <v>207</v>
      </c>
      <c r="AV4" s="110"/>
      <c r="AW4" s="111"/>
      <c r="AX4" s="109" t="s">
        <v>211</v>
      </c>
      <c r="AY4" s="110"/>
      <c r="AZ4" s="111"/>
      <c r="BA4" s="109" t="s">
        <v>212</v>
      </c>
      <c r="BB4" s="110"/>
      <c r="BC4" s="111"/>
      <c r="BD4" s="109" t="s">
        <v>215</v>
      </c>
      <c r="BE4" s="110"/>
      <c r="BF4" s="111"/>
      <c r="BG4" s="109" t="s">
        <v>216</v>
      </c>
      <c r="BH4" s="110"/>
      <c r="BI4" s="111"/>
      <c r="BJ4" s="109" t="s">
        <v>219</v>
      </c>
      <c r="BK4" s="110"/>
      <c r="BL4" s="111"/>
      <c r="BM4" s="109" t="s">
        <v>220</v>
      </c>
      <c r="BN4" s="110"/>
      <c r="BO4" s="111"/>
      <c r="BP4" s="109" t="s">
        <v>223</v>
      </c>
      <c r="BQ4" s="110"/>
      <c r="BR4" s="111"/>
      <c r="BS4" s="109" t="s">
        <v>224</v>
      </c>
      <c r="BT4" s="110"/>
      <c r="BU4" s="111"/>
      <c r="BV4" s="109" t="s">
        <v>225</v>
      </c>
      <c r="BW4" s="110"/>
      <c r="BX4" s="111"/>
      <c r="BY4" s="109" t="s">
        <v>226</v>
      </c>
      <c r="BZ4" s="110"/>
      <c r="CA4" s="111"/>
    </row>
    <row r="5" spans="1:80" s="3" customFormat="1">
      <c r="A5" s="174"/>
      <c r="B5" s="175"/>
      <c r="C5" s="176"/>
      <c r="D5" s="177"/>
      <c r="E5" s="177"/>
      <c r="F5" s="177"/>
      <c r="G5" s="177"/>
      <c r="H5" s="177"/>
      <c r="I5" s="177"/>
      <c r="J5" s="177"/>
      <c r="K5" s="96" t="s">
        <v>184</v>
      </c>
      <c r="L5" s="96" t="s">
        <v>182</v>
      </c>
      <c r="M5" s="89" t="s">
        <v>5</v>
      </c>
      <c r="N5" s="96" t="s">
        <v>184</v>
      </c>
      <c r="O5" s="96" t="s">
        <v>182</v>
      </c>
      <c r="P5" s="89" t="s">
        <v>5</v>
      </c>
      <c r="Q5" s="96" t="s">
        <v>184</v>
      </c>
      <c r="R5" s="96" t="s">
        <v>182</v>
      </c>
      <c r="S5" s="89" t="s">
        <v>5</v>
      </c>
      <c r="T5" s="97" t="s">
        <v>184</v>
      </c>
      <c r="U5" s="97" t="s">
        <v>182</v>
      </c>
      <c r="V5" s="97" t="s">
        <v>5</v>
      </c>
      <c r="W5" s="97" t="s">
        <v>184</v>
      </c>
      <c r="X5" s="97" t="s">
        <v>182</v>
      </c>
      <c r="Y5" s="97" t="s">
        <v>5</v>
      </c>
      <c r="Z5" s="98" t="s">
        <v>184</v>
      </c>
      <c r="AA5" s="98" t="s">
        <v>182</v>
      </c>
      <c r="AB5" s="98" t="s">
        <v>5</v>
      </c>
      <c r="AC5" s="98" t="s">
        <v>184</v>
      </c>
      <c r="AD5" s="98" t="s">
        <v>182</v>
      </c>
      <c r="AE5" s="98" t="s">
        <v>5</v>
      </c>
      <c r="AF5" s="99" t="s">
        <v>184</v>
      </c>
      <c r="AG5" s="99" t="s">
        <v>182</v>
      </c>
      <c r="AH5" s="99" t="s">
        <v>5</v>
      </c>
      <c r="AI5" s="99" t="s">
        <v>184</v>
      </c>
      <c r="AJ5" s="99" t="s">
        <v>182</v>
      </c>
      <c r="AK5" s="99" t="s">
        <v>5</v>
      </c>
      <c r="AL5" s="100" t="s">
        <v>184</v>
      </c>
      <c r="AM5" s="100" t="s">
        <v>182</v>
      </c>
      <c r="AN5" s="100" t="s">
        <v>5</v>
      </c>
      <c r="AO5" s="100" t="s">
        <v>184</v>
      </c>
      <c r="AP5" s="100" t="s">
        <v>182</v>
      </c>
      <c r="AQ5" s="100" t="s">
        <v>5</v>
      </c>
      <c r="AR5" s="101" t="s">
        <v>184</v>
      </c>
      <c r="AS5" s="101" t="s">
        <v>182</v>
      </c>
      <c r="AT5" s="101" t="s">
        <v>5</v>
      </c>
      <c r="AU5" s="101" t="s">
        <v>184</v>
      </c>
      <c r="AV5" s="101" t="s">
        <v>182</v>
      </c>
      <c r="AW5" s="101" t="s">
        <v>5</v>
      </c>
      <c r="AX5" s="102" t="s">
        <v>184</v>
      </c>
      <c r="AY5" s="102" t="s">
        <v>182</v>
      </c>
      <c r="AZ5" s="102" t="s">
        <v>5</v>
      </c>
      <c r="BA5" s="102" t="s">
        <v>184</v>
      </c>
      <c r="BB5" s="102" t="s">
        <v>182</v>
      </c>
      <c r="BC5" s="102" t="s">
        <v>5</v>
      </c>
      <c r="BD5" s="103" t="s">
        <v>184</v>
      </c>
      <c r="BE5" s="103" t="s">
        <v>182</v>
      </c>
      <c r="BF5" s="103" t="s">
        <v>5</v>
      </c>
      <c r="BG5" s="103" t="s">
        <v>184</v>
      </c>
      <c r="BH5" s="103" t="s">
        <v>182</v>
      </c>
      <c r="BI5" s="103" t="s">
        <v>5</v>
      </c>
      <c r="BJ5" s="104" t="s">
        <v>184</v>
      </c>
      <c r="BK5" s="104" t="s">
        <v>182</v>
      </c>
      <c r="BL5" s="104" t="s">
        <v>5</v>
      </c>
      <c r="BM5" s="104" t="s">
        <v>184</v>
      </c>
      <c r="BN5" s="104" t="s">
        <v>182</v>
      </c>
      <c r="BO5" s="104" t="s">
        <v>5</v>
      </c>
      <c r="BP5" s="105" t="s">
        <v>184</v>
      </c>
      <c r="BQ5" s="105" t="s">
        <v>182</v>
      </c>
      <c r="BR5" s="105" t="s">
        <v>5</v>
      </c>
      <c r="BS5" s="105" t="s">
        <v>184</v>
      </c>
      <c r="BT5" s="105" t="s">
        <v>182</v>
      </c>
      <c r="BU5" s="105" t="s">
        <v>5</v>
      </c>
      <c r="BV5" s="106" t="s">
        <v>184</v>
      </c>
      <c r="BW5" s="106" t="s">
        <v>182</v>
      </c>
      <c r="BX5" s="106" t="s">
        <v>5</v>
      </c>
      <c r="BY5" s="106" t="s">
        <v>184</v>
      </c>
      <c r="BZ5" s="106" t="s">
        <v>182</v>
      </c>
      <c r="CA5" s="106" t="s">
        <v>5</v>
      </c>
    </row>
    <row r="6" spans="1:80" s="1" customFormat="1" ht="19.5" customHeight="1">
      <c r="A6" s="152" t="s">
        <v>159</v>
      </c>
      <c r="B6" s="125">
        <v>8101</v>
      </c>
      <c r="C6" s="32" t="s">
        <v>42</v>
      </c>
      <c r="D6" s="14">
        <v>342712</v>
      </c>
      <c r="E6" s="14">
        <v>411878</v>
      </c>
      <c r="F6" s="14">
        <v>507449</v>
      </c>
      <c r="G6" s="14">
        <v>561991</v>
      </c>
      <c r="H6" s="14">
        <v>587698</v>
      </c>
      <c r="I6" s="14">
        <v>554215</v>
      </c>
      <c r="J6" s="14">
        <v>550090</v>
      </c>
      <c r="K6" s="14">
        <v>44329</v>
      </c>
      <c r="L6" s="14">
        <v>42242</v>
      </c>
      <c r="M6" s="15">
        <f t="shared" ref="M6:M76" si="0">(L6/K6-1)*100</f>
        <v>-4.7079789753885715</v>
      </c>
      <c r="N6" s="63">
        <f>Q6-K6</f>
        <v>38251</v>
      </c>
      <c r="O6" s="63">
        <f>R6-L6</f>
        <v>43545</v>
      </c>
      <c r="P6" s="15">
        <f t="shared" ref="P6:P76" si="1">(O6/N6-1)*100</f>
        <v>13.8401610415414</v>
      </c>
      <c r="Q6" s="14">
        <v>82580</v>
      </c>
      <c r="R6" s="14">
        <v>85787</v>
      </c>
      <c r="S6" s="15">
        <f t="shared" ref="S6:S76" si="2">(R6/Q6-1)*100</f>
        <v>3.8835069023976709</v>
      </c>
      <c r="T6" s="63">
        <f>W6-Q6</f>
        <v>41247</v>
      </c>
      <c r="U6" s="63">
        <f>X6-R6</f>
        <v>48522</v>
      </c>
      <c r="V6" s="15">
        <f t="shared" ref="V6:V7" si="3">(U6/T6-1)*100</f>
        <v>17.637646374281758</v>
      </c>
      <c r="W6" s="14">
        <v>123827</v>
      </c>
      <c r="X6" s="14">
        <v>134309</v>
      </c>
      <c r="Y6" s="15">
        <f t="shared" ref="Y6:Y7" si="4">(X6/W6-1)*100</f>
        <v>8.465035896856099</v>
      </c>
      <c r="Z6" s="63">
        <f>AC6-W6</f>
        <v>58054</v>
      </c>
      <c r="AA6" s="63">
        <f>AD6-X6</f>
        <v>116968</v>
      </c>
      <c r="AB6" s="15">
        <f t="shared" ref="AB6:AB7" si="5">(AA6/Z6-1)*100</f>
        <v>101.48137940538118</v>
      </c>
      <c r="AC6" s="14">
        <v>181881</v>
      </c>
      <c r="AD6" s="14">
        <v>251277</v>
      </c>
      <c r="AE6" s="15">
        <f t="shared" ref="AE6:AE7" si="6">(AD6/AC6-1)*100</f>
        <v>38.15461757962624</v>
      </c>
      <c r="AF6" s="63">
        <f>AI6-AC6</f>
        <v>35840</v>
      </c>
      <c r="AG6" s="63">
        <f>AJ6-AD6</f>
        <v>48881</v>
      </c>
      <c r="AH6" s="15">
        <f t="shared" ref="AH6:AH7" si="7">(AG6/AF6-1)*100</f>
        <v>36.386718749999993</v>
      </c>
      <c r="AI6" s="14">
        <v>217721</v>
      </c>
      <c r="AJ6" s="14">
        <v>300158</v>
      </c>
      <c r="AK6" s="15">
        <f t="shared" ref="AK6:AK7" si="8">(AJ6/AI6-1)*100</f>
        <v>37.863596070199932</v>
      </c>
      <c r="AL6" s="63">
        <f>AO6-AI6</f>
        <v>47941</v>
      </c>
      <c r="AM6" s="63">
        <f>AP6-AJ6</f>
        <v>29275</v>
      </c>
      <c r="AN6" s="15">
        <f t="shared" ref="AN6:AN7" si="9">(AM6/AL6-1)*100</f>
        <v>-38.935358044262735</v>
      </c>
      <c r="AO6" s="14">
        <v>265662</v>
      </c>
      <c r="AP6" s="14">
        <v>329433</v>
      </c>
      <c r="AQ6" s="15">
        <f t="shared" ref="AQ6:AQ7" si="10">(AP6/AO6-1)*100</f>
        <v>24.004562188043455</v>
      </c>
      <c r="AR6" s="63">
        <f>AU6-AO6</f>
        <v>48788</v>
      </c>
      <c r="AS6" s="63">
        <f>AV6-AP6</f>
        <v>45290</v>
      </c>
      <c r="AT6" s="15">
        <f t="shared" ref="AT6:AT7" si="11">(AS6/AR6-1)*100</f>
        <v>-7.1697958514388755</v>
      </c>
      <c r="AU6" s="14">
        <v>314450</v>
      </c>
      <c r="AV6" s="14">
        <v>374723</v>
      </c>
      <c r="AW6" s="15">
        <f t="shared" ref="AW6:AW7" si="12">(AV6/AU6-1)*100</f>
        <v>19.16775321990778</v>
      </c>
      <c r="AX6" s="63">
        <f>BA6-AU6</f>
        <v>56907</v>
      </c>
      <c r="AY6" s="63">
        <f>BB6-AV6</f>
        <v>37071</v>
      </c>
      <c r="AZ6" s="15">
        <f t="shared" ref="AZ6:AZ7" si="13">(AY6/AX6-1)*100</f>
        <v>-34.856871738099002</v>
      </c>
      <c r="BA6" s="14">
        <v>371357</v>
      </c>
      <c r="BB6" s="14">
        <v>411794</v>
      </c>
      <c r="BC6" s="15">
        <f t="shared" ref="BC6:BC7" si="14">(BB6/BA6-1)*100</f>
        <v>10.888982838616212</v>
      </c>
      <c r="BD6" s="63">
        <f>BG6-BA6</f>
        <v>59176</v>
      </c>
      <c r="BE6" s="63">
        <f>BH6-BB6</f>
        <v>68707</v>
      </c>
      <c r="BF6" s="15">
        <f t="shared" ref="BF6:BF7" si="15">(BE6/BD6-1)*100</f>
        <v>16.106191699337579</v>
      </c>
      <c r="BG6" s="14">
        <v>430533</v>
      </c>
      <c r="BH6" s="14">
        <v>480501</v>
      </c>
      <c r="BI6" s="15">
        <f t="shared" ref="BI6:BI7" si="16">(BH6/BG6-1)*100</f>
        <v>11.606078976524437</v>
      </c>
      <c r="BJ6" s="63">
        <f>BM6-BG6</f>
        <v>39894</v>
      </c>
      <c r="BK6" s="63">
        <f>BN6-BH6</f>
        <v>1839</v>
      </c>
      <c r="BL6" s="15">
        <f t="shared" ref="BL6:BL7" si="17">(BK6/BJ6-1)*100</f>
        <v>-95.390284253271176</v>
      </c>
      <c r="BM6" s="14">
        <v>470427</v>
      </c>
      <c r="BN6" s="14">
        <v>482340</v>
      </c>
      <c r="BO6" s="15">
        <f t="shared" ref="BO6:BO7" si="18">(BN6/BM6-1)*100</f>
        <v>2.5323801567512128</v>
      </c>
      <c r="BP6" s="63">
        <f>BS6-BM6</f>
        <v>39850</v>
      </c>
      <c r="BQ6" s="63">
        <f>BT6-BN6</f>
        <v>34606</v>
      </c>
      <c r="BR6" s="15">
        <f t="shared" ref="BR6:BR7" si="19">(BQ6/BP6-1)*100</f>
        <v>-13.159347553324974</v>
      </c>
      <c r="BS6" s="14">
        <v>510277</v>
      </c>
      <c r="BT6" s="14">
        <v>516946</v>
      </c>
      <c r="BU6" s="15">
        <f t="shared" ref="BU6:BU7" si="20">(BT6/BS6-1)*100</f>
        <v>1.3069372125335876</v>
      </c>
      <c r="BV6" s="63">
        <f>BY6-BS6</f>
        <v>39813</v>
      </c>
      <c r="BW6" s="63">
        <f>BZ6-BT6</f>
        <v>50166</v>
      </c>
      <c r="BX6" s="15">
        <f t="shared" ref="BX6:BX7" si="21">(BW6/BV6-1)*100</f>
        <v>26.004069022681044</v>
      </c>
      <c r="BY6" s="14">
        <v>550090</v>
      </c>
      <c r="BZ6" s="14">
        <v>567112</v>
      </c>
      <c r="CA6" s="15">
        <f t="shared" ref="CA6:CA7" si="22">(BZ6/BY6-1)*100</f>
        <v>3.0944027340980673</v>
      </c>
      <c r="CB6" s="108"/>
    </row>
    <row r="7" spans="1:80" s="1" customFormat="1" ht="19.5" customHeight="1">
      <c r="A7" s="152"/>
      <c r="B7" s="125"/>
      <c r="C7" s="33" t="s">
        <v>104</v>
      </c>
      <c r="D7" s="17">
        <v>24305198</v>
      </c>
      <c r="E7" s="17">
        <v>36706295</v>
      </c>
      <c r="F7" s="17">
        <v>52390211</v>
      </c>
      <c r="G7" s="17">
        <v>56124418</v>
      </c>
      <c r="H7" s="17">
        <v>53008325</v>
      </c>
      <c r="I7" s="17">
        <v>51164093</v>
      </c>
      <c r="J7" s="17">
        <v>45436969</v>
      </c>
      <c r="K7" s="17">
        <v>3805622</v>
      </c>
      <c r="L7" s="17">
        <v>3101264</v>
      </c>
      <c r="M7" s="18">
        <f t="shared" si="0"/>
        <v>-18.508354219100053</v>
      </c>
      <c r="N7" s="17">
        <f>Q7-K7</f>
        <v>3598799</v>
      </c>
      <c r="O7" s="17">
        <f>R7-L7</f>
        <v>3284527</v>
      </c>
      <c r="P7" s="18">
        <f t="shared" si="1"/>
        <v>-8.7326911005588208</v>
      </c>
      <c r="Q7" s="17">
        <v>7404421</v>
      </c>
      <c r="R7" s="17">
        <v>6385791</v>
      </c>
      <c r="S7" s="18">
        <f t="shared" si="2"/>
        <v>-13.757051361612206</v>
      </c>
      <c r="T7" s="17">
        <f>W7-Q7</f>
        <v>4051962</v>
      </c>
      <c r="U7" s="17">
        <f>X7-R7</f>
        <v>3157784</v>
      </c>
      <c r="V7" s="18">
        <f t="shared" si="3"/>
        <v>-22.067778523095726</v>
      </c>
      <c r="W7" s="17">
        <v>11456383</v>
      </c>
      <c r="X7" s="17">
        <v>9543575</v>
      </c>
      <c r="Y7" s="18">
        <f t="shared" si="4"/>
        <v>-16.696439006971055</v>
      </c>
      <c r="Z7" s="17">
        <f>AC7-W7</f>
        <v>4948060</v>
      </c>
      <c r="AA7" s="17">
        <f>AD7-X7</f>
        <v>4064170</v>
      </c>
      <c r="AB7" s="18">
        <f t="shared" si="5"/>
        <v>-17.863364631795086</v>
      </c>
      <c r="AC7" s="17">
        <v>16404443</v>
      </c>
      <c r="AD7" s="17">
        <v>13607745</v>
      </c>
      <c r="AE7" s="18">
        <f t="shared" si="6"/>
        <v>-17.048417919462434</v>
      </c>
      <c r="AF7" s="17">
        <f>AI7-AC7</f>
        <v>3336181</v>
      </c>
      <c r="AG7" s="17">
        <f>AJ7-AD7</f>
        <v>3304320</v>
      </c>
      <c r="AH7" s="18">
        <f t="shared" si="7"/>
        <v>-0.95501413142752289</v>
      </c>
      <c r="AI7" s="17">
        <v>19740624</v>
      </c>
      <c r="AJ7" s="17">
        <v>16912065</v>
      </c>
      <c r="AK7" s="18">
        <f t="shared" si="8"/>
        <v>-14.328620007148707</v>
      </c>
      <c r="AL7" s="17">
        <f>AO7-AI7</f>
        <v>4259020</v>
      </c>
      <c r="AM7" s="17">
        <f>AP7-AJ7</f>
        <v>2720626</v>
      </c>
      <c r="AN7" s="18">
        <f t="shared" si="9"/>
        <v>-36.120844701363218</v>
      </c>
      <c r="AO7" s="17">
        <v>23999644</v>
      </c>
      <c r="AP7" s="17">
        <v>19632691</v>
      </c>
      <c r="AQ7" s="18">
        <f t="shared" si="10"/>
        <v>-18.195907405959854</v>
      </c>
      <c r="AR7" s="17">
        <f>AU7-AO7</f>
        <v>4017042</v>
      </c>
      <c r="AS7" s="17">
        <f>AV7-AP7</f>
        <v>3232833</v>
      </c>
      <c r="AT7" s="18">
        <f t="shared" si="11"/>
        <v>-19.522051300434494</v>
      </c>
      <c r="AU7" s="17">
        <v>28016686</v>
      </c>
      <c r="AV7" s="17">
        <v>22865524</v>
      </c>
      <c r="AW7" s="18">
        <f t="shared" si="12"/>
        <v>-18.386050370125862</v>
      </c>
      <c r="AX7" s="17">
        <f>BA7-AU7</f>
        <v>4334004</v>
      </c>
      <c r="AY7" s="17">
        <f>BB7-AV7</f>
        <v>3160459</v>
      </c>
      <c r="AZ7" s="18">
        <f t="shared" si="13"/>
        <v>-27.077616910367407</v>
      </c>
      <c r="BA7" s="17">
        <v>32350690</v>
      </c>
      <c r="BB7" s="17">
        <v>26025983</v>
      </c>
      <c r="BC7" s="18">
        <f t="shared" si="14"/>
        <v>-19.550454719822053</v>
      </c>
      <c r="BD7" s="17">
        <f>BG7-BA7</f>
        <v>3161514</v>
      </c>
      <c r="BE7" s="17">
        <f>BH7-BB7</f>
        <v>3792740</v>
      </c>
      <c r="BF7" s="18">
        <f t="shared" si="15"/>
        <v>19.965940369076328</v>
      </c>
      <c r="BG7" s="17">
        <v>35512204</v>
      </c>
      <c r="BH7" s="17">
        <v>29818723</v>
      </c>
      <c r="BI7" s="18">
        <f t="shared" si="16"/>
        <v>-16.032463093532577</v>
      </c>
      <c r="BJ7" s="17">
        <f>BM7-BG7</f>
        <v>3094769</v>
      </c>
      <c r="BK7" s="17">
        <f>BN7-BH7</f>
        <v>2460304</v>
      </c>
      <c r="BL7" s="18">
        <f t="shared" si="17"/>
        <v>-20.501207036777224</v>
      </c>
      <c r="BM7" s="17">
        <v>38606973</v>
      </c>
      <c r="BN7" s="17">
        <v>32279027</v>
      </c>
      <c r="BO7" s="18">
        <f t="shared" si="18"/>
        <v>-16.390681548641485</v>
      </c>
      <c r="BP7" s="17">
        <f>BS7-BM7</f>
        <v>3537499</v>
      </c>
      <c r="BQ7" s="17">
        <f>BT7-BN7</f>
        <v>3114201</v>
      </c>
      <c r="BR7" s="18">
        <f t="shared" si="19"/>
        <v>-11.966024584035218</v>
      </c>
      <c r="BS7" s="17">
        <v>42144472</v>
      </c>
      <c r="BT7" s="17">
        <v>35393228</v>
      </c>
      <c r="BU7" s="18">
        <f t="shared" si="20"/>
        <v>-16.019287179585497</v>
      </c>
      <c r="BV7" s="17">
        <f>BY7-BS7</f>
        <v>3292497</v>
      </c>
      <c r="BW7" s="17">
        <f>BZ7-BT7</f>
        <v>3641116</v>
      </c>
      <c r="BX7" s="18">
        <f t="shared" si="21"/>
        <v>10.588286033366167</v>
      </c>
      <c r="BY7" s="17">
        <v>45436969</v>
      </c>
      <c r="BZ7" s="17">
        <v>39034344</v>
      </c>
      <c r="CA7" s="18">
        <f t="shared" si="22"/>
        <v>-14.091223822610177</v>
      </c>
      <c r="CB7" s="108"/>
    </row>
    <row r="8" spans="1:80" s="1" customFormat="1" ht="19.5" customHeight="1">
      <c r="A8" s="153"/>
      <c r="B8" s="126"/>
      <c r="C8" s="93" t="s">
        <v>105</v>
      </c>
      <c r="D8" s="64">
        <f t="shared" ref="D8:L8" si="23">D7/D6</f>
        <v>70.920183711104372</v>
      </c>
      <c r="E8" s="64">
        <f t="shared" si="23"/>
        <v>89.119338736227718</v>
      </c>
      <c r="F8" s="64">
        <f t="shared" si="23"/>
        <v>103.24231794722228</v>
      </c>
      <c r="G8" s="64">
        <f t="shared" si="23"/>
        <v>99.867111750899923</v>
      </c>
      <c r="H8" s="64">
        <f>H7/H6</f>
        <v>90.196538017825475</v>
      </c>
      <c r="I8" s="64">
        <f>I7/I6</f>
        <v>92.318131050224196</v>
      </c>
      <c r="J8" s="64">
        <f>J7/J6</f>
        <v>82.59915468377902</v>
      </c>
      <c r="K8" s="64">
        <f t="shared" si="23"/>
        <v>85.849489047801669</v>
      </c>
      <c r="L8" s="64">
        <f t="shared" si="23"/>
        <v>73.416599592822308</v>
      </c>
      <c r="M8" s="65"/>
      <c r="N8" s="64">
        <f>N7/N6</f>
        <v>94.083788659120017</v>
      </c>
      <c r="O8" s="64">
        <f>O7/O6</f>
        <v>75.428338500401878</v>
      </c>
      <c r="P8" s="65"/>
      <c r="Q8" s="64">
        <f>Q7/Q6</f>
        <v>89.663611043836283</v>
      </c>
      <c r="R8" s="64">
        <f>R7/R6</f>
        <v>74.437746977980353</v>
      </c>
      <c r="S8" s="65"/>
      <c r="T8" s="64">
        <f>T7/T6</f>
        <v>98.236526292821296</v>
      </c>
      <c r="U8" s="64">
        <f>U7/U6</f>
        <v>65.079427888380522</v>
      </c>
      <c r="V8" s="65"/>
      <c r="W8" s="64">
        <f>W7/W6</f>
        <v>92.519264780702102</v>
      </c>
      <c r="X8" s="64">
        <f>X7/X6</f>
        <v>71.056853971066715</v>
      </c>
      <c r="Y8" s="65"/>
      <c r="Z8" s="64">
        <f>Z7/Z6</f>
        <v>85.232025355703314</v>
      </c>
      <c r="AA8" s="64">
        <f>AA7/AA6</f>
        <v>34.745998905683606</v>
      </c>
      <c r="AB8" s="65"/>
      <c r="AC8" s="64">
        <f>AC7/AC6</f>
        <v>90.193274723583002</v>
      </c>
      <c r="AD8" s="64">
        <f>AD7/AD6</f>
        <v>54.15435953151303</v>
      </c>
      <c r="AE8" s="65"/>
      <c r="AF8" s="64">
        <f>AF7/AF6</f>
        <v>93.085407366071422</v>
      </c>
      <c r="AG8" s="64">
        <f>AG7/AG6</f>
        <v>67.599271700660793</v>
      </c>
      <c r="AH8" s="65"/>
      <c r="AI8" s="64">
        <f>AI7/AI6</f>
        <v>90.669361246733203</v>
      </c>
      <c r="AJ8" s="64">
        <f>AJ7/AJ6</f>
        <v>56.343875558872327</v>
      </c>
      <c r="AK8" s="65"/>
      <c r="AL8" s="64">
        <f>AL7/AL6</f>
        <v>88.83878100164786</v>
      </c>
      <c r="AM8" s="64">
        <f>AM7/AM6</f>
        <v>92.933424423569605</v>
      </c>
      <c r="AN8" s="65"/>
      <c r="AO8" s="64">
        <f>AO7/AO6</f>
        <v>90.339017247479887</v>
      </c>
      <c r="AP8" s="64">
        <f>AP7/AP6</f>
        <v>59.595398760901304</v>
      </c>
      <c r="AQ8" s="65"/>
      <c r="AR8" s="64">
        <f>AR7/AR6</f>
        <v>82.336681151102724</v>
      </c>
      <c r="AS8" s="64">
        <f>AS7/AS6</f>
        <v>71.380724221682485</v>
      </c>
      <c r="AT8" s="65"/>
      <c r="AU8" s="64">
        <f>AU7/AU6</f>
        <v>89.097427253935436</v>
      </c>
      <c r="AV8" s="64">
        <f>AV7/AV6</f>
        <v>61.019803961859829</v>
      </c>
      <c r="AW8" s="65"/>
      <c r="AX8" s="64">
        <f>AX7/AX6</f>
        <v>76.159417997785866</v>
      </c>
      <c r="AY8" s="64">
        <f>AY7/AY6</f>
        <v>85.2542148849505</v>
      </c>
      <c r="AZ8" s="65"/>
      <c r="BA8" s="64">
        <f>BA7/BA6</f>
        <v>87.114797889901098</v>
      </c>
      <c r="BB8" s="64">
        <f>BB7/BB6</f>
        <v>63.201462381676272</v>
      </c>
      <c r="BC8" s="65"/>
      <c r="BD8" s="64">
        <f>BD7/BD6</f>
        <v>53.425611734486957</v>
      </c>
      <c r="BE8" s="64">
        <f>BE7/BE6</f>
        <v>55.201653397761511</v>
      </c>
      <c r="BF8" s="65"/>
      <c r="BG8" s="64">
        <f>BG7/BG6</f>
        <v>82.484278789314644</v>
      </c>
      <c r="BH8" s="64">
        <f>BH7/BH6</f>
        <v>62.057566997779404</v>
      </c>
      <c r="BI8" s="65"/>
      <c r="BJ8" s="64">
        <f>BJ7/BJ6</f>
        <v>77.574798215270462</v>
      </c>
      <c r="BK8" s="64">
        <f>BK7/BK6</f>
        <v>1337.8488308863514</v>
      </c>
      <c r="BL8" s="65"/>
      <c r="BM8" s="64">
        <f>BM7/BM6</f>
        <v>82.067936151623954</v>
      </c>
      <c r="BN8" s="64">
        <f>BN7/BN6</f>
        <v>66.921729485425217</v>
      </c>
      <c r="BO8" s="65"/>
      <c r="BP8" s="64">
        <f>BP7/BP6</f>
        <v>88.770363864491841</v>
      </c>
      <c r="BQ8" s="64">
        <f>BQ7/BQ6</f>
        <v>89.99020401086517</v>
      </c>
      <c r="BR8" s="65"/>
      <c r="BS8" s="64">
        <f>BS7/BS6</f>
        <v>82.591361162662636</v>
      </c>
      <c r="BT8" s="64">
        <f>BT7/BT6</f>
        <v>68.466006120561914</v>
      </c>
      <c r="BU8" s="65"/>
      <c r="BV8" s="64">
        <f>BV7/BV6</f>
        <v>82.699043026147237</v>
      </c>
      <c r="BW8" s="64">
        <f>BW7/BW6</f>
        <v>72.581349918271343</v>
      </c>
      <c r="BX8" s="65"/>
      <c r="BY8" s="64">
        <f>BY7/BY6</f>
        <v>82.59915468377902</v>
      </c>
      <c r="BZ8" s="64">
        <f>BZ7/BZ6</f>
        <v>68.830044153535809</v>
      </c>
      <c r="CA8" s="65"/>
      <c r="CB8" s="108"/>
    </row>
    <row r="9" spans="1:80" s="1" customFormat="1" ht="19.5" customHeight="1">
      <c r="A9" s="164" t="s">
        <v>160</v>
      </c>
      <c r="B9" s="133">
        <v>8102</v>
      </c>
      <c r="C9" s="32" t="s">
        <v>42</v>
      </c>
      <c r="D9" s="66">
        <v>988244</v>
      </c>
      <c r="E9" s="66">
        <v>1279146</v>
      </c>
      <c r="F9" s="66">
        <v>1257681</v>
      </c>
      <c r="G9" s="66">
        <v>1029961</v>
      </c>
      <c r="H9" s="66">
        <v>1023794</v>
      </c>
      <c r="I9" s="66">
        <v>1077902</v>
      </c>
      <c r="J9" s="66">
        <v>989943</v>
      </c>
      <c r="K9" s="66">
        <v>96671</v>
      </c>
      <c r="L9" s="66">
        <v>55744</v>
      </c>
      <c r="M9" s="15">
        <f t="shared" si="0"/>
        <v>-42.336378024433387</v>
      </c>
      <c r="N9" s="63">
        <f>Q9-K9</f>
        <v>80301</v>
      </c>
      <c r="O9" s="63">
        <f>R9-L9</f>
        <v>59331</v>
      </c>
      <c r="P9" s="15">
        <f t="shared" si="1"/>
        <v>-26.114245152613293</v>
      </c>
      <c r="Q9" s="66">
        <v>176972</v>
      </c>
      <c r="R9" s="66">
        <v>115075</v>
      </c>
      <c r="S9" s="15">
        <f t="shared" si="2"/>
        <v>-34.975589358768623</v>
      </c>
      <c r="T9" s="63">
        <f>W9-Q9</f>
        <v>74142</v>
      </c>
      <c r="U9" s="63">
        <f>X9-R9</f>
        <v>64306</v>
      </c>
      <c r="V9" s="15">
        <f t="shared" ref="V9:V10" si="24">(U9/T9-1)*100</f>
        <v>-13.266434679398987</v>
      </c>
      <c r="W9" s="66">
        <v>251114</v>
      </c>
      <c r="X9" s="66">
        <v>179381</v>
      </c>
      <c r="Y9" s="15">
        <f t="shared" ref="Y9:Y10" si="25">(X9/W9-1)*100</f>
        <v>-28.565910303686771</v>
      </c>
      <c r="Z9" s="63">
        <f>AC9-W9</f>
        <v>88180</v>
      </c>
      <c r="AA9" s="63">
        <f>AD9-X9</f>
        <v>60412</v>
      </c>
      <c r="AB9" s="15">
        <f t="shared" ref="AB9:AB10" si="26">(AA9/Z9-1)*100</f>
        <v>-31.490133817192113</v>
      </c>
      <c r="AC9" s="66">
        <v>339294</v>
      </c>
      <c r="AD9" s="66">
        <v>239793</v>
      </c>
      <c r="AE9" s="15">
        <f t="shared" ref="AE9:AE10" si="27">(AD9/AC9-1)*100</f>
        <v>-29.325894357106229</v>
      </c>
      <c r="AF9" s="63">
        <f>AI9-AC9</f>
        <v>81521</v>
      </c>
      <c r="AG9" s="63">
        <f>AJ9-AD9</f>
        <v>63775</v>
      </c>
      <c r="AH9" s="15">
        <f t="shared" ref="AH9:AH10" si="28">(AG9/AF9-1)*100</f>
        <v>-21.768624035524585</v>
      </c>
      <c r="AI9" s="66">
        <v>420815</v>
      </c>
      <c r="AJ9" s="66">
        <v>303568</v>
      </c>
      <c r="AK9" s="15">
        <f t="shared" ref="AK9:AK10" si="29">(AJ9/AI9-1)*100</f>
        <v>-27.861887052505264</v>
      </c>
      <c r="AL9" s="63">
        <f>AO9-AI9</f>
        <v>95940</v>
      </c>
      <c r="AM9" s="63">
        <f>AP9-AJ9</f>
        <v>71107</v>
      </c>
      <c r="AN9" s="15">
        <f t="shared" ref="AN9:AN10" si="30">(AM9/AL9-1)*100</f>
        <v>-25.883885761934543</v>
      </c>
      <c r="AO9" s="66">
        <v>516755</v>
      </c>
      <c r="AP9" s="66">
        <v>374675</v>
      </c>
      <c r="AQ9" s="15">
        <f t="shared" ref="AQ9:AQ10" si="31">(AP9/AO9-1)*100</f>
        <v>-27.494654139776099</v>
      </c>
      <c r="AR9" s="63">
        <f>AU9-AO9</f>
        <v>85943</v>
      </c>
      <c r="AS9" s="63">
        <f>AV9-AP9</f>
        <v>77149</v>
      </c>
      <c r="AT9" s="15">
        <f t="shared" ref="AT9:AT10" si="32">(AS9/AR9-1)*100</f>
        <v>-10.232363310566306</v>
      </c>
      <c r="AU9" s="66">
        <v>602698</v>
      </c>
      <c r="AV9" s="66">
        <v>451824</v>
      </c>
      <c r="AW9" s="15">
        <f t="shared" ref="AW9:AW10" si="33">(AV9/AU9-1)*100</f>
        <v>-25.033101155139057</v>
      </c>
      <c r="AX9" s="63">
        <f>BA9-AU9</f>
        <v>73959</v>
      </c>
      <c r="AY9" s="63">
        <f>BB9-AV9</f>
        <v>55526</v>
      </c>
      <c r="AZ9" s="15">
        <f t="shared" ref="AZ9:AZ10" si="34">(AY9/AX9-1)*100</f>
        <v>-24.923268297299849</v>
      </c>
      <c r="BA9" s="66">
        <v>676657</v>
      </c>
      <c r="BB9" s="66">
        <v>507350</v>
      </c>
      <c r="BC9" s="15">
        <f t="shared" ref="BC9:BC10" si="35">(BB9/BA9-1)*100</f>
        <v>-25.021096360489882</v>
      </c>
      <c r="BD9" s="63">
        <f>BG9-BA9</f>
        <v>71773</v>
      </c>
      <c r="BE9" s="63">
        <f>BH9-BB9</f>
        <v>59958</v>
      </c>
      <c r="BF9" s="15">
        <f t="shared" ref="BF9:BF10" si="36">(BE9/BD9-1)*100</f>
        <v>-16.461622058434234</v>
      </c>
      <c r="BG9" s="66">
        <v>748430</v>
      </c>
      <c r="BH9" s="66">
        <v>567308</v>
      </c>
      <c r="BI9" s="15">
        <f t="shared" ref="BI9:BI10" si="37">(BH9/BG9-1)*100</f>
        <v>-24.200259209278087</v>
      </c>
      <c r="BJ9" s="63">
        <f>BM9-BG9</f>
        <v>84288</v>
      </c>
      <c r="BK9" s="63">
        <f>BN9-BH9</f>
        <v>54285</v>
      </c>
      <c r="BL9" s="15">
        <f t="shared" ref="BL9:BL10" si="38">(BK9/BJ9-1)*100</f>
        <v>-35.595814350797262</v>
      </c>
      <c r="BM9" s="66">
        <v>832718</v>
      </c>
      <c r="BN9" s="66">
        <v>621593</v>
      </c>
      <c r="BO9" s="15">
        <f t="shared" ref="BO9:BO10" si="39">(BN9/BM9-1)*100</f>
        <v>-25.353721187725021</v>
      </c>
      <c r="BP9" s="63">
        <f>BS9-BM9</f>
        <v>80052</v>
      </c>
      <c r="BQ9" s="63">
        <f>BT9-BN9</f>
        <v>57424</v>
      </c>
      <c r="BR9" s="15">
        <f t="shared" ref="BR9:BR10" si="40">(BQ9/BP9-1)*100</f>
        <v>-28.266626692649776</v>
      </c>
      <c r="BS9" s="66">
        <v>912770</v>
      </c>
      <c r="BT9" s="66">
        <v>679017</v>
      </c>
      <c r="BU9" s="15">
        <f t="shared" ref="BU9:BU10" si="41">(BT9/BS9-1)*100</f>
        <v>-25.609189609649754</v>
      </c>
      <c r="BV9" s="63">
        <f>BY9-BS9</f>
        <v>77173</v>
      </c>
      <c r="BW9" s="63">
        <f>BZ9-BT9</f>
        <v>49719</v>
      </c>
      <c r="BX9" s="15">
        <f t="shared" ref="BX9:BX10" si="42">(BW9/BV9-1)*100</f>
        <v>-35.574618065903877</v>
      </c>
      <c r="BY9" s="66">
        <v>989943</v>
      </c>
      <c r="BZ9" s="66">
        <v>728736</v>
      </c>
      <c r="CA9" s="15">
        <f t="shared" ref="CA9:CA10" si="43">(BZ9/BY9-1)*100</f>
        <v>-26.386064652207253</v>
      </c>
      <c r="CB9" s="108"/>
    </row>
    <row r="10" spans="1:80" s="1" customFormat="1" ht="19.5" customHeight="1">
      <c r="A10" s="152"/>
      <c r="B10" s="120"/>
      <c r="C10" s="33" t="s">
        <v>104</v>
      </c>
      <c r="D10" s="17">
        <v>162161515</v>
      </c>
      <c r="E10" s="17">
        <v>184545220</v>
      </c>
      <c r="F10" s="17">
        <v>152656493</v>
      </c>
      <c r="G10" s="17">
        <v>138280131</v>
      </c>
      <c r="H10" s="17">
        <v>119458909</v>
      </c>
      <c r="I10" s="17">
        <v>113891418</v>
      </c>
      <c r="J10" s="17">
        <v>98430970</v>
      </c>
      <c r="K10" s="17">
        <v>10690875</v>
      </c>
      <c r="L10" s="17">
        <v>4802012</v>
      </c>
      <c r="M10" s="18">
        <f t="shared" si="0"/>
        <v>-55.083077858454054</v>
      </c>
      <c r="N10" s="17">
        <f>Q10-K10</f>
        <v>7549080</v>
      </c>
      <c r="O10" s="17">
        <f>R10-L10</f>
        <v>6101573</v>
      </c>
      <c r="P10" s="18">
        <f t="shared" si="1"/>
        <v>-19.174614655030808</v>
      </c>
      <c r="Q10" s="17">
        <v>18239955</v>
      </c>
      <c r="R10" s="17">
        <v>10903585</v>
      </c>
      <c r="S10" s="18">
        <f t="shared" si="2"/>
        <v>-40.221425984877698</v>
      </c>
      <c r="T10" s="17">
        <f>W10-Q10</f>
        <v>7501248</v>
      </c>
      <c r="U10" s="17">
        <f>X10-R10</f>
        <v>5291967</v>
      </c>
      <c r="V10" s="18">
        <f t="shared" si="24"/>
        <v>-29.452179157388215</v>
      </c>
      <c r="W10" s="17">
        <v>25741203</v>
      </c>
      <c r="X10" s="17">
        <v>16195552</v>
      </c>
      <c r="Y10" s="18">
        <f t="shared" si="25"/>
        <v>-37.083158079286349</v>
      </c>
      <c r="Z10" s="17">
        <f>AC10-W10</f>
        <v>9268928</v>
      </c>
      <c r="AA10" s="17">
        <f>AD10-X10</f>
        <v>5653571</v>
      </c>
      <c r="AB10" s="18">
        <f t="shared" si="26"/>
        <v>-39.005125511817553</v>
      </c>
      <c r="AC10" s="17">
        <v>35010131</v>
      </c>
      <c r="AD10" s="17">
        <v>21849123</v>
      </c>
      <c r="AE10" s="18">
        <f t="shared" si="27"/>
        <v>-37.591998727454055</v>
      </c>
      <c r="AF10" s="17">
        <f>AI10-AC10</f>
        <v>6764978</v>
      </c>
      <c r="AG10" s="17">
        <f>AJ10-AD10</f>
        <v>6399695</v>
      </c>
      <c r="AH10" s="18">
        <f t="shared" si="28"/>
        <v>-5.3996184466527435</v>
      </c>
      <c r="AI10" s="17">
        <v>41775109</v>
      </c>
      <c r="AJ10" s="17">
        <v>28248818</v>
      </c>
      <c r="AK10" s="18">
        <f t="shared" si="29"/>
        <v>-32.37882874225415</v>
      </c>
      <c r="AL10" s="17">
        <f>AO10-AI10</f>
        <v>9866868</v>
      </c>
      <c r="AM10" s="17">
        <f>AP10-AJ10</f>
        <v>6722774</v>
      </c>
      <c r="AN10" s="18">
        <f t="shared" si="30"/>
        <v>-31.865167345909562</v>
      </c>
      <c r="AO10" s="17">
        <v>51641977</v>
      </c>
      <c r="AP10" s="17">
        <v>34971592</v>
      </c>
      <c r="AQ10" s="18">
        <f t="shared" si="31"/>
        <v>-32.280687085236877</v>
      </c>
      <c r="AR10" s="17">
        <f>AU10-AO10</f>
        <v>8529147</v>
      </c>
      <c r="AS10" s="17">
        <f>AV10-AP10</f>
        <v>7641724</v>
      </c>
      <c r="AT10" s="18">
        <f t="shared" si="32"/>
        <v>-10.404592628078756</v>
      </c>
      <c r="AU10" s="17">
        <v>60171124</v>
      </c>
      <c r="AV10" s="17">
        <v>42613316</v>
      </c>
      <c r="AW10" s="18">
        <f t="shared" si="33"/>
        <v>-29.179790625151025</v>
      </c>
      <c r="AX10" s="17">
        <f>BA10-AU10</f>
        <v>7698849</v>
      </c>
      <c r="AY10" s="17">
        <f>BB10-AV10</f>
        <v>4945435</v>
      </c>
      <c r="AZ10" s="18">
        <f t="shared" si="34"/>
        <v>-35.763969393346983</v>
      </c>
      <c r="BA10" s="17">
        <v>67869973</v>
      </c>
      <c r="BB10" s="17">
        <v>47558751</v>
      </c>
      <c r="BC10" s="18">
        <f t="shared" si="35"/>
        <v>-29.926668749374631</v>
      </c>
      <c r="BD10" s="17">
        <f>BG10-BA10</f>
        <v>6900975</v>
      </c>
      <c r="BE10" s="17">
        <f>BH10-BB10</f>
        <v>5985783</v>
      </c>
      <c r="BF10" s="18">
        <f t="shared" si="36"/>
        <v>-13.261778226989662</v>
      </c>
      <c r="BG10" s="17">
        <v>74770948</v>
      </c>
      <c r="BH10" s="17">
        <v>53544534</v>
      </c>
      <c r="BI10" s="18">
        <f t="shared" si="37"/>
        <v>-28.388584828428286</v>
      </c>
      <c r="BJ10" s="17">
        <f>BM10-BG10</f>
        <v>8171810</v>
      </c>
      <c r="BK10" s="17">
        <f>BN10-BH10</f>
        <v>5374330</v>
      </c>
      <c r="BL10" s="18">
        <f t="shared" si="38"/>
        <v>-34.233297152038531</v>
      </c>
      <c r="BM10" s="17">
        <v>82942758</v>
      </c>
      <c r="BN10" s="17">
        <v>58918864</v>
      </c>
      <c r="BO10" s="18">
        <f t="shared" si="39"/>
        <v>-28.964426285414813</v>
      </c>
      <c r="BP10" s="17">
        <f>BS10-BM10</f>
        <v>7613558</v>
      </c>
      <c r="BQ10" s="17">
        <f>BT10-BN10</f>
        <v>4927021</v>
      </c>
      <c r="BR10" s="18">
        <f t="shared" si="40"/>
        <v>-35.28622228923718</v>
      </c>
      <c r="BS10" s="17">
        <v>90556316</v>
      </c>
      <c r="BT10" s="17">
        <v>63845885</v>
      </c>
      <c r="BU10" s="18">
        <f t="shared" si="41"/>
        <v>-29.495933778931558</v>
      </c>
      <c r="BV10" s="17">
        <f>BY10-BS10</f>
        <v>7874654</v>
      </c>
      <c r="BW10" s="17">
        <f>BZ10-BT10</f>
        <v>5402759</v>
      </c>
      <c r="BX10" s="18">
        <f t="shared" si="42"/>
        <v>-31.390522047063907</v>
      </c>
      <c r="BY10" s="17">
        <v>98430970</v>
      </c>
      <c r="BZ10" s="17">
        <v>69248644</v>
      </c>
      <c r="CA10" s="18">
        <f t="shared" si="43"/>
        <v>-29.647504235709555</v>
      </c>
      <c r="CB10" s="108"/>
    </row>
    <row r="11" spans="1:80" s="1" customFormat="1" ht="19.5" customHeight="1">
      <c r="A11" s="153"/>
      <c r="B11" s="121"/>
      <c r="C11" s="93" t="s">
        <v>105</v>
      </c>
      <c r="D11" s="64">
        <f t="shared" ref="D11:L11" si="44">D10/D9</f>
        <v>164.09056366646294</v>
      </c>
      <c r="E11" s="64">
        <f t="shared" si="44"/>
        <v>144.27220973993587</v>
      </c>
      <c r="F11" s="64">
        <f t="shared" si="44"/>
        <v>121.3793426154963</v>
      </c>
      <c r="G11" s="64">
        <f t="shared" si="44"/>
        <v>134.25763791056167</v>
      </c>
      <c r="H11" s="64">
        <f>H10/H9</f>
        <v>116.68256407050637</v>
      </c>
      <c r="I11" s="64">
        <f>I10/I9</f>
        <v>105.66027152746724</v>
      </c>
      <c r="J11" s="64">
        <f>J10/J9</f>
        <v>99.430947034324205</v>
      </c>
      <c r="K11" s="64">
        <f t="shared" si="44"/>
        <v>110.59030112443236</v>
      </c>
      <c r="L11" s="64">
        <f t="shared" si="44"/>
        <v>86.144015499425947</v>
      </c>
      <c r="M11" s="65"/>
      <c r="N11" s="64">
        <f>N10/N9</f>
        <v>94.009788172002843</v>
      </c>
      <c r="O11" s="64">
        <f>O10/O9</f>
        <v>102.83954425174024</v>
      </c>
      <c r="P11" s="65"/>
      <c r="Q11" s="64">
        <f>Q10/Q9</f>
        <v>103.06689758831905</v>
      </c>
      <c r="R11" s="64">
        <f>R10/R9</f>
        <v>94.751987834021293</v>
      </c>
      <c r="S11" s="65"/>
      <c r="T11" s="64">
        <f>T10/T9</f>
        <v>101.1740713765477</v>
      </c>
      <c r="U11" s="64">
        <f>U10/U9</f>
        <v>82.293518489721023</v>
      </c>
      <c r="V11" s="65"/>
      <c r="W11" s="64">
        <f>W10/W9</f>
        <v>102.50803619073409</v>
      </c>
      <c r="X11" s="64">
        <f>X10/X9</f>
        <v>90.285771625757462</v>
      </c>
      <c r="Y11" s="65"/>
      <c r="Z11" s="64">
        <f>Z10/Z9</f>
        <v>105.11372193241098</v>
      </c>
      <c r="AA11" s="64">
        <f>AA10/AA9</f>
        <v>93.583576110706488</v>
      </c>
      <c r="AB11" s="65"/>
      <c r="AC11" s="64">
        <f>AC10/AC9</f>
        <v>103.18523463426999</v>
      </c>
      <c r="AD11" s="64">
        <f>AD10/AD9</f>
        <v>91.116600567989892</v>
      </c>
      <c r="AE11" s="65"/>
      <c r="AF11" s="64">
        <f>AF10/AF9</f>
        <v>82.984482525974897</v>
      </c>
      <c r="AG11" s="64">
        <f>AG10/AG9</f>
        <v>100.34802038416308</v>
      </c>
      <c r="AH11" s="65"/>
      <c r="AI11" s="64">
        <f>AI10/AI9</f>
        <v>99.271910459465559</v>
      </c>
      <c r="AJ11" s="64">
        <f>AJ10/AJ9</f>
        <v>93.055980867548627</v>
      </c>
      <c r="AK11" s="65"/>
      <c r="AL11" s="64">
        <f>AL10/AL9</f>
        <v>102.84415259537211</v>
      </c>
      <c r="AM11" s="64">
        <f>AM10/AM9</f>
        <v>94.544475227474095</v>
      </c>
      <c r="AN11" s="65"/>
      <c r="AO11" s="64">
        <f>AO10/AO9</f>
        <v>99.935127865235941</v>
      </c>
      <c r="AP11" s="64">
        <f>AP10/AP9</f>
        <v>93.338472009074536</v>
      </c>
      <c r="AQ11" s="65"/>
      <c r="AR11" s="64">
        <f>AR10/AR9</f>
        <v>99.241904518110843</v>
      </c>
      <c r="AS11" s="64">
        <f>AS10/AS9</f>
        <v>99.051497751105003</v>
      </c>
      <c r="AT11" s="65"/>
      <c r="AU11" s="64">
        <f>AU10/AU9</f>
        <v>99.836276211303172</v>
      </c>
      <c r="AV11" s="64">
        <f>AV10/AV9</f>
        <v>94.313971812033003</v>
      </c>
      <c r="AW11" s="65"/>
      <c r="AX11" s="64">
        <f>AX10/AX9</f>
        <v>104.09617490771915</v>
      </c>
      <c r="AY11" s="64">
        <f>AY10/AY9</f>
        <v>89.065212693152759</v>
      </c>
      <c r="AZ11" s="65"/>
      <c r="BA11" s="64">
        <f>BA10/BA9</f>
        <v>100.30188559343951</v>
      </c>
      <c r="BB11" s="64">
        <f>BB10/BB9</f>
        <v>93.73953089583128</v>
      </c>
      <c r="BC11" s="65"/>
      <c r="BD11" s="64">
        <f>BD10/BD9</f>
        <v>96.150014629456763</v>
      </c>
      <c r="BE11" s="64">
        <f>BE10/BE9</f>
        <v>99.832933053137197</v>
      </c>
      <c r="BF11" s="65"/>
      <c r="BG11" s="64">
        <f>BG10/BG9</f>
        <v>99.9037291396657</v>
      </c>
      <c r="BH11" s="64">
        <f>BH10/BH9</f>
        <v>94.383534164862823</v>
      </c>
      <c r="BI11" s="65"/>
      <c r="BJ11" s="64">
        <f>BJ10/BJ9</f>
        <v>96.951048785117692</v>
      </c>
      <c r="BK11" s="64">
        <f>BK10/BK9</f>
        <v>99.002118448926964</v>
      </c>
      <c r="BL11" s="65"/>
      <c r="BM11" s="64">
        <f>BM10/BM9</f>
        <v>99.604857827019472</v>
      </c>
      <c r="BN11" s="64">
        <f>BN10/BN9</f>
        <v>94.786884665689612</v>
      </c>
      <c r="BO11" s="65"/>
      <c r="BP11" s="64">
        <f>BP10/BP9</f>
        <v>95.107655024234248</v>
      </c>
      <c r="BQ11" s="64">
        <f>BQ10/BQ9</f>
        <v>85.800727918640291</v>
      </c>
      <c r="BR11" s="65"/>
      <c r="BS11" s="64">
        <f>BS10/BS9</f>
        <v>99.210442937432205</v>
      </c>
      <c r="BT11" s="64">
        <f>BT10/BT9</f>
        <v>94.026931579032635</v>
      </c>
      <c r="BU11" s="65"/>
      <c r="BV11" s="64">
        <f>BV10/BV9</f>
        <v>102.03897736254908</v>
      </c>
      <c r="BW11" s="64">
        <f>BW10/BW9</f>
        <v>108.6658822582916</v>
      </c>
      <c r="BX11" s="65"/>
      <c r="BY11" s="64">
        <f>BY10/BY9</f>
        <v>99.430947034324205</v>
      </c>
      <c r="BZ11" s="64">
        <f>BZ10/BZ9</f>
        <v>95.025693804066222</v>
      </c>
      <c r="CA11" s="65"/>
      <c r="CB11" s="108"/>
    </row>
    <row r="12" spans="1:80" s="1" customFormat="1" ht="19.5" customHeight="1">
      <c r="A12" s="164" t="s">
        <v>161</v>
      </c>
      <c r="B12" s="114">
        <v>8103</v>
      </c>
      <c r="C12" s="32" t="s">
        <v>42</v>
      </c>
      <c r="D12" s="66">
        <v>34858</v>
      </c>
      <c r="E12" s="66">
        <v>390934</v>
      </c>
      <c r="F12" s="66">
        <v>256783</v>
      </c>
      <c r="G12" s="66">
        <v>274232</v>
      </c>
      <c r="H12" s="66">
        <v>168007</v>
      </c>
      <c r="I12" s="66">
        <v>137939</v>
      </c>
      <c r="J12" s="66">
        <v>139912</v>
      </c>
      <c r="K12" s="66">
        <v>9331</v>
      </c>
      <c r="L12" s="66">
        <v>6297</v>
      </c>
      <c r="M12" s="15">
        <f t="shared" si="0"/>
        <v>-32.515271675061619</v>
      </c>
      <c r="N12" s="63">
        <f>Q12-K12</f>
        <v>11219</v>
      </c>
      <c r="O12" s="63">
        <f>R12-L12</f>
        <v>6889</v>
      </c>
      <c r="P12" s="15">
        <f t="shared" si="1"/>
        <v>-38.59524021748819</v>
      </c>
      <c r="Q12" s="66">
        <v>20550</v>
      </c>
      <c r="R12" s="66">
        <v>13186</v>
      </c>
      <c r="S12" s="15">
        <f t="shared" si="2"/>
        <v>-35.834549878345499</v>
      </c>
      <c r="T12" s="63">
        <f>W12-Q12</f>
        <v>11645</v>
      </c>
      <c r="U12" s="63">
        <f>X12-R12</f>
        <v>10926</v>
      </c>
      <c r="V12" s="15">
        <f t="shared" ref="V12:V13" si="45">(U12/T12-1)*100</f>
        <v>-6.1743237440961778</v>
      </c>
      <c r="W12" s="66">
        <v>32195</v>
      </c>
      <c r="X12" s="66">
        <v>24112</v>
      </c>
      <c r="Y12" s="15">
        <f t="shared" ref="Y12:Y13" si="46">(X12/W12-1)*100</f>
        <v>-25.106382978723406</v>
      </c>
      <c r="Z12" s="63">
        <f>AC12-W12</f>
        <v>13233</v>
      </c>
      <c r="AA12" s="63">
        <f>AD12-X12</f>
        <v>6198</v>
      </c>
      <c r="AB12" s="15">
        <f t="shared" ref="AB12:AB13" si="47">(AA12/Z12-1)*100</f>
        <v>-53.162548175017001</v>
      </c>
      <c r="AC12" s="66">
        <v>45428</v>
      </c>
      <c r="AD12" s="66">
        <v>30310</v>
      </c>
      <c r="AE12" s="15">
        <f t="shared" ref="AE12:AE13" si="48">(AD12/AC12-1)*100</f>
        <v>-33.279034956414542</v>
      </c>
      <c r="AF12" s="63">
        <f>AI12-AC12</f>
        <v>10581</v>
      </c>
      <c r="AG12" s="63">
        <f>AJ12-AD12</f>
        <v>10972</v>
      </c>
      <c r="AH12" s="15">
        <f t="shared" ref="AH12:AH13" si="49">(AG12/AF12-1)*100</f>
        <v>3.6953029014270777</v>
      </c>
      <c r="AI12" s="66">
        <v>56009</v>
      </c>
      <c r="AJ12" s="66">
        <v>41282</v>
      </c>
      <c r="AK12" s="15">
        <f t="shared" ref="AK12:AK13" si="50">(AJ12/AI12-1)*100</f>
        <v>-26.293988466139375</v>
      </c>
      <c r="AL12" s="63">
        <f>AO12-AI12</f>
        <v>17411</v>
      </c>
      <c r="AM12" s="63">
        <f>AP12-AJ12</f>
        <v>7775</v>
      </c>
      <c r="AN12" s="15">
        <f t="shared" ref="AN12:AN13" si="51">(AM12/AL12-1)*100</f>
        <v>-55.344322554706793</v>
      </c>
      <c r="AO12" s="66">
        <v>73420</v>
      </c>
      <c r="AP12" s="66">
        <v>49057</v>
      </c>
      <c r="AQ12" s="15">
        <f t="shared" ref="AQ12:AQ13" si="52">(AP12/AO12-1)*100</f>
        <v>-33.183056387905211</v>
      </c>
      <c r="AR12" s="63">
        <f>AU12-AO12</f>
        <v>15872</v>
      </c>
      <c r="AS12" s="63">
        <f>AV12-AP12</f>
        <v>5845</v>
      </c>
      <c r="AT12" s="15">
        <f t="shared" ref="AT12:AT13" si="53">(AS12/AR12-1)*100</f>
        <v>-63.174143145161288</v>
      </c>
      <c r="AU12" s="66">
        <v>89292</v>
      </c>
      <c r="AV12" s="66">
        <v>54902</v>
      </c>
      <c r="AW12" s="15">
        <f t="shared" ref="AW12:AW13" si="54">(AV12/AU12-1)*100</f>
        <v>-38.514088608161991</v>
      </c>
      <c r="AX12" s="63">
        <f>BA12-AU12</f>
        <v>12092</v>
      </c>
      <c r="AY12" s="63">
        <f>BB12-AV12</f>
        <v>5860</v>
      </c>
      <c r="AZ12" s="15">
        <f t="shared" ref="AZ12:AZ13" si="55">(AY12/AX12-1)*100</f>
        <v>-51.538207079060541</v>
      </c>
      <c r="BA12" s="66">
        <v>101384</v>
      </c>
      <c r="BB12" s="66">
        <v>60762</v>
      </c>
      <c r="BC12" s="15">
        <f t="shared" ref="BC12:BC13" si="56">(BB12/BA12-1)*100</f>
        <v>-40.067466266866568</v>
      </c>
      <c r="BD12" s="63">
        <f>BG12-BA12</f>
        <v>11192</v>
      </c>
      <c r="BE12" s="63">
        <f>BH12-BB12</f>
        <v>7705</v>
      </c>
      <c r="BF12" s="15">
        <f t="shared" ref="BF12:BF13" si="57">(BE12/BD12-1)*100</f>
        <v>-31.156182987848467</v>
      </c>
      <c r="BG12" s="66">
        <v>112576</v>
      </c>
      <c r="BH12" s="66">
        <v>68467</v>
      </c>
      <c r="BI12" s="15">
        <f t="shared" ref="BI12:BI13" si="58">(BH12/BG12-1)*100</f>
        <v>-39.181530699260946</v>
      </c>
      <c r="BJ12" s="63">
        <f>BM12-BG12</f>
        <v>12391</v>
      </c>
      <c r="BK12" s="63">
        <f>BN12-BH12</f>
        <v>7688</v>
      </c>
      <c r="BL12" s="15">
        <f t="shared" ref="BL12:BL13" si="59">(BK12/BJ12-1)*100</f>
        <v>-37.954967314986689</v>
      </c>
      <c r="BM12" s="66">
        <v>124967</v>
      </c>
      <c r="BN12" s="66">
        <v>76155</v>
      </c>
      <c r="BO12" s="15">
        <f t="shared" ref="BO12:BO13" si="60">(BN12/BM12-1)*100</f>
        <v>-39.05991181671962</v>
      </c>
      <c r="BP12" s="63">
        <f>BS12-BM12</f>
        <v>7845</v>
      </c>
      <c r="BQ12" s="63">
        <f>BT12-BN12</f>
        <v>7824</v>
      </c>
      <c r="BR12" s="15">
        <f t="shared" ref="BR12:BR13" si="61">(BQ12/BP12-1)*100</f>
        <v>-0.26768642447418944</v>
      </c>
      <c r="BS12" s="66">
        <v>132812</v>
      </c>
      <c r="BT12" s="66">
        <v>83979</v>
      </c>
      <c r="BU12" s="15">
        <f t="shared" ref="BU12:BU13" si="62">(BT12/BS12-1)*100</f>
        <v>-36.768514893232542</v>
      </c>
      <c r="BV12" s="63">
        <f>BY12-BS12</f>
        <v>7100</v>
      </c>
      <c r="BW12" s="63">
        <f>BZ12-BT12</f>
        <v>8145</v>
      </c>
      <c r="BX12" s="15">
        <f t="shared" ref="BX12:BX13" si="63">(BW12/BV12-1)*100</f>
        <v>14.718309859154921</v>
      </c>
      <c r="BY12" s="66">
        <v>139912</v>
      </c>
      <c r="BZ12" s="66">
        <v>92124</v>
      </c>
      <c r="CA12" s="15">
        <f t="shared" ref="CA12:CA13" si="64">(BZ12/BY12-1)*100</f>
        <v>-34.155755046028936</v>
      </c>
      <c r="CB12" s="108"/>
    </row>
    <row r="13" spans="1:80" s="1" customFormat="1" ht="19.5" customHeight="1">
      <c r="A13" s="152"/>
      <c r="B13" s="120"/>
      <c r="C13" s="33" t="s">
        <v>104</v>
      </c>
      <c r="D13" s="17">
        <v>16737766</v>
      </c>
      <c r="E13" s="17">
        <v>33582808</v>
      </c>
      <c r="F13" s="17">
        <v>53015899</v>
      </c>
      <c r="G13" s="17">
        <v>74382375</v>
      </c>
      <c r="H13" s="17">
        <v>58257241</v>
      </c>
      <c r="I13" s="17">
        <v>57568612</v>
      </c>
      <c r="J13" s="17">
        <v>61897553</v>
      </c>
      <c r="K13" s="17">
        <v>3761846</v>
      </c>
      <c r="L13" s="17">
        <v>3292621</v>
      </c>
      <c r="M13" s="18">
        <f t="shared" si="0"/>
        <v>-12.473264455801758</v>
      </c>
      <c r="N13" s="17">
        <f>Q13-K13</f>
        <v>4294973</v>
      </c>
      <c r="O13" s="17">
        <f>R13-L13</f>
        <v>3535146</v>
      </c>
      <c r="P13" s="18">
        <f t="shared" si="1"/>
        <v>-17.69107745264057</v>
      </c>
      <c r="Q13" s="17">
        <v>8056819</v>
      </c>
      <c r="R13" s="17">
        <v>6827767</v>
      </c>
      <c r="S13" s="18">
        <f t="shared" si="2"/>
        <v>-15.254804656775834</v>
      </c>
      <c r="T13" s="17">
        <f>W13-Q13</f>
        <v>4331985</v>
      </c>
      <c r="U13" s="17">
        <f>X13-R13</f>
        <v>6330902</v>
      </c>
      <c r="V13" s="18">
        <f t="shared" si="45"/>
        <v>46.14321148388094</v>
      </c>
      <c r="W13" s="17">
        <v>12388804</v>
      </c>
      <c r="X13" s="17">
        <v>13158669</v>
      </c>
      <c r="Y13" s="18">
        <f t="shared" si="46"/>
        <v>6.214199530479303</v>
      </c>
      <c r="Z13" s="17">
        <f>AC13-W13</f>
        <v>6004509</v>
      </c>
      <c r="AA13" s="17">
        <f>AD13-X13</f>
        <v>2966563</v>
      </c>
      <c r="AB13" s="18">
        <f t="shared" si="47"/>
        <v>-50.59441163299114</v>
      </c>
      <c r="AC13" s="17">
        <v>18393313</v>
      </c>
      <c r="AD13" s="17">
        <v>16125232</v>
      </c>
      <c r="AE13" s="18">
        <f t="shared" si="48"/>
        <v>-12.331008557294709</v>
      </c>
      <c r="AF13" s="17">
        <f>AI13-AC13</f>
        <v>4442837</v>
      </c>
      <c r="AG13" s="17">
        <f>AJ13-AD13</f>
        <v>5351048</v>
      </c>
      <c r="AH13" s="18">
        <f t="shared" si="49"/>
        <v>20.442140911314112</v>
      </c>
      <c r="AI13" s="17">
        <v>22836150</v>
      </c>
      <c r="AJ13" s="17">
        <v>21476280</v>
      </c>
      <c r="AK13" s="18">
        <f t="shared" si="50"/>
        <v>-5.9549004538856138</v>
      </c>
      <c r="AL13" s="17">
        <f>AO13-AI13</f>
        <v>7026766</v>
      </c>
      <c r="AM13" s="17">
        <f>AP13-AJ13</f>
        <v>4188380</v>
      </c>
      <c r="AN13" s="18">
        <f t="shared" si="51"/>
        <v>-40.393916632487837</v>
      </c>
      <c r="AO13" s="17">
        <v>29862916</v>
      </c>
      <c r="AP13" s="17">
        <v>25664660</v>
      </c>
      <c r="AQ13" s="18">
        <f t="shared" si="52"/>
        <v>-14.058426176465822</v>
      </c>
      <c r="AR13" s="17">
        <f>AU13-AO13</f>
        <v>7234107</v>
      </c>
      <c r="AS13" s="17">
        <f>AV13-AP13</f>
        <v>3602769</v>
      </c>
      <c r="AT13" s="18">
        <f t="shared" si="53"/>
        <v>-50.197460446742085</v>
      </c>
      <c r="AU13" s="17">
        <v>37097023</v>
      </c>
      <c r="AV13" s="17">
        <v>29267429</v>
      </c>
      <c r="AW13" s="18">
        <f t="shared" si="54"/>
        <v>-21.105720531806561</v>
      </c>
      <c r="AX13" s="17">
        <f>BA13-AU13</f>
        <v>6510361</v>
      </c>
      <c r="AY13" s="17">
        <f>BB13-AV13</f>
        <v>3297183</v>
      </c>
      <c r="AZ13" s="18">
        <f t="shared" si="55"/>
        <v>-49.354836083590449</v>
      </c>
      <c r="BA13" s="17">
        <v>43607384</v>
      </c>
      <c r="BB13" s="17">
        <v>32564612</v>
      </c>
      <c r="BC13" s="18">
        <f t="shared" si="56"/>
        <v>-25.323170039275922</v>
      </c>
      <c r="BD13" s="17">
        <f>BG13-BA13</f>
        <v>4251870</v>
      </c>
      <c r="BE13" s="17">
        <f>BH13-BB13</f>
        <v>3953076</v>
      </c>
      <c r="BF13" s="18">
        <f t="shared" si="57"/>
        <v>-7.0273550226135795</v>
      </c>
      <c r="BG13" s="17">
        <v>47859254</v>
      </c>
      <c r="BH13" s="17">
        <v>36517688</v>
      </c>
      <c r="BI13" s="18">
        <f t="shared" si="58"/>
        <v>-23.697749237796305</v>
      </c>
      <c r="BJ13" s="17">
        <f>BM13-BG13</f>
        <v>7040510</v>
      </c>
      <c r="BK13" s="17">
        <f>BN13-BH13</f>
        <v>4533747</v>
      </c>
      <c r="BL13" s="18">
        <f t="shared" si="59"/>
        <v>-35.604849648676016</v>
      </c>
      <c r="BM13" s="17">
        <v>54899764</v>
      </c>
      <c r="BN13" s="17">
        <v>41051435</v>
      </c>
      <c r="BO13" s="18">
        <f t="shared" si="60"/>
        <v>-25.224751421517954</v>
      </c>
      <c r="BP13" s="17">
        <f>BS13-BM13</f>
        <v>3550614</v>
      </c>
      <c r="BQ13" s="17">
        <f>BT13-BN13</f>
        <v>4737066</v>
      </c>
      <c r="BR13" s="18">
        <f t="shared" si="61"/>
        <v>33.415403645679319</v>
      </c>
      <c r="BS13" s="17">
        <v>58450378</v>
      </c>
      <c r="BT13" s="17">
        <v>45788501</v>
      </c>
      <c r="BU13" s="18">
        <f t="shared" si="62"/>
        <v>-21.662609264905008</v>
      </c>
      <c r="BV13" s="17">
        <f>BY13-BS13</f>
        <v>3447175</v>
      </c>
      <c r="BW13" s="17">
        <f>BZ13-BT13</f>
        <v>5111917</v>
      </c>
      <c r="BX13" s="18">
        <f t="shared" si="63"/>
        <v>48.292935519664645</v>
      </c>
      <c r="BY13" s="17">
        <v>61897553</v>
      </c>
      <c r="BZ13" s="17">
        <v>50900418</v>
      </c>
      <c r="CA13" s="18">
        <f t="shared" si="64"/>
        <v>-17.76667164855451</v>
      </c>
      <c r="CB13" s="108"/>
    </row>
    <row r="14" spans="1:80" s="1" customFormat="1" ht="19.5" customHeight="1">
      <c r="A14" s="153"/>
      <c r="B14" s="121"/>
      <c r="C14" s="93" t="s">
        <v>105</v>
      </c>
      <c r="D14" s="64">
        <f t="shared" ref="D14:L14" si="65">D13/D12</f>
        <v>480.17000401629468</v>
      </c>
      <c r="E14" s="64">
        <f t="shared" si="65"/>
        <v>85.904034952191424</v>
      </c>
      <c r="F14" s="64">
        <f t="shared" si="65"/>
        <v>206.46187247598166</v>
      </c>
      <c r="G14" s="64">
        <f t="shared" si="65"/>
        <v>271.23885979754368</v>
      </c>
      <c r="H14" s="64">
        <f>H13/H12</f>
        <v>346.75484354818548</v>
      </c>
      <c r="I14" s="64">
        <f>I13/I12</f>
        <v>417.34833513364606</v>
      </c>
      <c r="J14" s="64">
        <f>J13/J12</f>
        <v>442.40346074675512</v>
      </c>
      <c r="K14" s="64">
        <f t="shared" si="65"/>
        <v>403.15571750080375</v>
      </c>
      <c r="L14" s="64">
        <f t="shared" si="65"/>
        <v>522.88724789582341</v>
      </c>
      <c r="M14" s="65"/>
      <c r="N14" s="64">
        <f>N13/N12</f>
        <v>382.8302879044478</v>
      </c>
      <c r="O14" s="64">
        <f>O13/O12</f>
        <v>513.15807809551461</v>
      </c>
      <c r="P14" s="65"/>
      <c r="Q14" s="64">
        <f>Q13/Q12</f>
        <v>392.05931873479318</v>
      </c>
      <c r="R14" s="64">
        <f>R13/R12</f>
        <v>517.80426209616257</v>
      </c>
      <c r="S14" s="65"/>
      <c r="T14" s="64">
        <f>T13/T12</f>
        <v>372.00386431945043</v>
      </c>
      <c r="U14" s="64">
        <f>U13/U12</f>
        <v>579.43455976569646</v>
      </c>
      <c r="V14" s="65"/>
      <c r="W14" s="64">
        <f>W13/W12</f>
        <v>384.80521820158407</v>
      </c>
      <c r="X14" s="64">
        <f>X13/X12</f>
        <v>545.73112972793626</v>
      </c>
      <c r="Y14" s="65"/>
      <c r="Z14" s="64">
        <f>Z13/Z12</f>
        <v>453.7526637950578</v>
      </c>
      <c r="AA14" s="64">
        <f>AA13/AA12</f>
        <v>478.63230074217489</v>
      </c>
      <c r="AB14" s="65"/>
      <c r="AC14" s="64">
        <f>AC13/AC12</f>
        <v>404.88934137536319</v>
      </c>
      <c r="AD14" s="64">
        <f>AD13/AD12</f>
        <v>532.01029363246448</v>
      </c>
      <c r="AE14" s="65"/>
      <c r="AF14" s="64">
        <f>AF13/AF12</f>
        <v>419.88819582270105</v>
      </c>
      <c r="AG14" s="64">
        <f>AG13/AG12</f>
        <v>487.70032810791105</v>
      </c>
      <c r="AH14" s="65"/>
      <c r="AI14" s="64">
        <f>AI13/AI12</f>
        <v>407.72286596796943</v>
      </c>
      <c r="AJ14" s="64">
        <f>AJ13/AJ12</f>
        <v>520.23351581803206</v>
      </c>
      <c r="AK14" s="65"/>
      <c r="AL14" s="64">
        <f>AL13/AL12</f>
        <v>403.58198839813912</v>
      </c>
      <c r="AM14" s="64">
        <f>AM13/AM12</f>
        <v>538.69839228295825</v>
      </c>
      <c r="AN14" s="65"/>
      <c r="AO14" s="64">
        <f>AO13/AO12</f>
        <v>406.74088804140564</v>
      </c>
      <c r="AP14" s="64">
        <f>AP13/AP12</f>
        <v>523.15999755386588</v>
      </c>
      <c r="AQ14" s="65"/>
      <c r="AR14" s="64">
        <f>AR13/AR12</f>
        <v>455.77791078629031</v>
      </c>
      <c r="AS14" s="64">
        <f>AS13/AS12</f>
        <v>616.38477331052184</v>
      </c>
      <c r="AT14" s="65"/>
      <c r="AU14" s="64">
        <f>AU13/AU12</f>
        <v>415.45740939837833</v>
      </c>
      <c r="AV14" s="64">
        <f>AV13/AV12</f>
        <v>533.0849331536192</v>
      </c>
      <c r="AW14" s="65"/>
      <c r="AX14" s="64">
        <f>AX13/AX12</f>
        <v>538.40233212041016</v>
      </c>
      <c r="AY14" s="64">
        <f>AY13/AY12</f>
        <v>562.65921501706487</v>
      </c>
      <c r="AZ14" s="65"/>
      <c r="BA14" s="64">
        <f>BA13/BA12</f>
        <v>430.12096583287303</v>
      </c>
      <c r="BB14" s="64">
        <f>BB13/BB12</f>
        <v>535.93713175998153</v>
      </c>
      <c r="BC14" s="65"/>
      <c r="BD14" s="64">
        <f>BD13/BD12</f>
        <v>379.90260900643318</v>
      </c>
      <c r="BE14" s="64">
        <f>BE13/BE12</f>
        <v>513.05334198572359</v>
      </c>
      <c r="BF14" s="65"/>
      <c r="BG14" s="64">
        <f>BG13/BG12</f>
        <v>425.12839326321773</v>
      </c>
      <c r="BH14" s="64">
        <f>BH13/BH12</f>
        <v>533.36188236668761</v>
      </c>
      <c r="BI14" s="65"/>
      <c r="BJ14" s="64">
        <f>BJ13/BJ12</f>
        <v>568.19546445000401</v>
      </c>
      <c r="BK14" s="64">
        <f>BK13/BK12</f>
        <v>589.7173517169615</v>
      </c>
      <c r="BL14" s="65"/>
      <c r="BM14" s="64">
        <f>BM13/BM12</f>
        <v>439.31409092000285</v>
      </c>
      <c r="BN14" s="64">
        <f>BN13/BN12</f>
        <v>539.05108003414091</v>
      </c>
      <c r="BO14" s="65"/>
      <c r="BP14" s="64">
        <f>BP13/BP12</f>
        <v>452.59579349904396</v>
      </c>
      <c r="BQ14" s="64">
        <f>BQ13/BQ12</f>
        <v>605.45322085889575</v>
      </c>
      <c r="BR14" s="65"/>
      <c r="BS14" s="64">
        <f>BS13/BS12</f>
        <v>440.09862060657167</v>
      </c>
      <c r="BT14" s="64">
        <f>BT13/BT12</f>
        <v>545.23751175889208</v>
      </c>
      <c r="BU14" s="65"/>
      <c r="BV14" s="64">
        <f>BV13/BV12</f>
        <v>485.51760563380282</v>
      </c>
      <c r="BW14" s="64">
        <f>BW13/BW12</f>
        <v>627.61411909146716</v>
      </c>
      <c r="BX14" s="65"/>
      <c r="BY14" s="64">
        <f>BY13/BY12</f>
        <v>442.40346074675512</v>
      </c>
      <c r="BZ14" s="64">
        <f>BZ13/BZ12</f>
        <v>552.52071121531844</v>
      </c>
      <c r="CA14" s="65"/>
      <c r="CB14" s="108"/>
    </row>
    <row r="15" spans="1:80" s="1" customFormat="1" ht="19.5" customHeight="1">
      <c r="A15" s="164" t="s">
        <v>162</v>
      </c>
      <c r="B15" s="114">
        <v>8104</v>
      </c>
      <c r="C15" s="32" t="s">
        <v>42</v>
      </c>
      <c r="D15" s="66">
        <v>17038105</v>
      </c>
      <c r="E15" s="66">
        <v>18454168</v>
      </c>
      <c r="F15" s="66">
        <v>21002957</v>
      </c>
      <c r="G15" s="66">
        <v>22776457</v>
      </c>
      <c r="H15" s="66">
        <v>27222188</v>
      </c>
      <c r="I15" s="66">
        <v>25515859</v>
      </c>
      <c r="J15" s="66">
        <v>26120043</v>
      </c>
      <c r="K15" s="66">
        <v>2570501</v>
      </c>
      <c r="L15" s="66">
        <v>2291449</v>
      </c>
      <c r="M15" s="15">
        <f t="shared" si="0"/>
        <v>-10.855938200374171</v>
      </c>
      <c r="N15" s="63">
        <f>Q15-K15</f>
        <v>2120355</v>
      </c>
      <c r="O15" s="63">
        <f>R15-L15</f>
        <v>1969103</v>
      </c>
      <c r="P15" s="15">
        <f t="shared" si="1"/>
        <v>-7.1333338049524686</v>
      </c>
      <c r="Q15" s="66">
        <v>4690856</v>
      </c>
      <c r="R15" s="66">
        <v>4260552</v>
      </c>
      <c r="S15" s="15">
        <f t="shared" si="2"/>
        <v>-9.1732511081133126</v>
      </c>
      <c r="T15" s="63">
        <f>W15-Q15</f>
        <v>2053909</v>
      </c>
      <c r="U15" s="63">
        <f>X15-R15</f>
        <v>2657460</v>
      </c>
      <c r="V15" s="15">
        <f t="shared" ref="V15:V16" si="66">(U15/T15-1)*100</f>
        <v>29.385479103504576</v>
      </c>
      <c r="W15" s="66">
        <v>6744765</v>
      </c>
      <c r="X15" s="66">
        <v>6918012</v>
      </c>
      <c r="Y15" s="15">
        <f t="shared" ref="Y15:Y16" si="67">(X15/W15-1)*100</f>
        <v>2.5686143253323079</v>
      </c>
      <c r="Z15" s="63">
        <f>AC15-W15</f>
        <v>2283667</v>
      </c>
      <c r="AA15" s="63">
        <f>AD15-X15</f>
        <v>1721498</v>
      </c>
      <c r="AB15" s="15">
        <f t="shared" ref="AB15:AB16" si="68">(AA15/Z15-1)*100</f>
        <v>-24.616942837988198</v>
      </c>
      <c r="AC15" s="66">
        <v>9028432</v>
      </c>
      <c r="AD15" s="66">
        <v>8639510</v>
      </c>
      <c r="AE15" s="15">
        <f t="shared" ref="AE15:AE16" si="69">(AD15/AC15-1)*100</f>
        <v>-4.3077469044458638</v>
      </c>
      <c r="AF15" s="63">
        <f>AI15-AC15</f>
        <v>1665404</v>
      </c>
      <c r="AG15" s="63">
        <f>AJ15-AD15</f>
        <v>1721237</v>
      </c>
      <c r="AH15" s="15">
        <f t="shared" ref="AH15:AH16" si="70">(AG15/AF15-1)*100</f>
        <v>3.3525198690527835</v>
      </c>
      <c r="AI15" s="66">
        <v>10693836</v>
      </c>
      <c r="AJ15" s="66">
        <v>10360747</v>
      </c>
      <c r="AK15" s="15">
        <f t="shared" ref="AK15:AK16" si="71">(AJ15/AI15-1)*100</f>
        <v>-3.1147756520672254</v>
      </c>
      <c r="AL15" s="63">
        <f>AO15-AI15</f>
        <v>1937181</v>
      </c>
      <c r="AM15" s="63">
        <f>AP15-AJ15</f>
        <v>2398773</v>
      </c>
      <c r="AN15" s="15">
        <f t="shared" ref="AN15:AN16" si="72">(AM15/AL15-1)*100</f>
        <v>23.828026395055502</v>
      </c>
      <c r="AO15" s="66">
        <v>12631017</v>
      </c>
      <c r="AP15" s="66">
        <v>12759520</v>
      </c>
      <c r="AQ15" s="15">
        <f t="shared" ref="AQ15:AQ16" si="73">(AP15/AO15-1)*100</f>
        <v>1.0173606764997567</v>
      </c>
      <c r="AR15" s="63">
        <f>AU15-AO15</f>
        <v>2321496</v>
      </c>
      <c r="AS15" s="63">
        <f>AV15-AP15</f>
        <v>1934804</v>
      </c>
      <c r="AT15" s="15">
        <f t="shared" ref="AT15:AT16" si="74">(AS15/AR15-1)*100</f>
        <v>-16.657017716162336</v>
      </c>
      <c r="AU15" s="66">
        <v>14952513</v>
      </c>
      <c r="AV15" s="66">
        <v>14694324</v>
      </c>
      <c r="AW15" s="15">
        <f t="shared" ref="AW15:AW16" si="75">(AV15/AU15-1)*100</f>
        <v>-1.7267264706608221</v>
      </c>
      <c r="AX15" s="63">
        <f>BA15-AU15</f>
        <v>2517491</v>
      </c>
      <c r="AY15" s="63">
        <f>BB15-AV15</f>
        <v>2219786</v>
      </c>
      <c r="AZ15" s="15">
        <f t="shared" ref="AZ15:AZ16" si="76">(AY15/AX15-1)*100</f>
        <v>-11.825464321421608</v>
      </c>
      <c r="BA15" s="66">
        <v>17470004</v>
      </c>
      <c r="BB15" s="66">
        <v>16914110</v>
      </c>
      <c r="BC15" s="15">
        <f t="shared" ref="BC15:BC16" si="77">(BB15/BA15-1)*100</f>
        <v>-3.1819912577009113</v>
      </c>
      <c r="BD15" s="63">
        <f>BG15-BA15</f>
        <v>2398599</v>
      </c>
      <c r="BE15" s="63">
        <f>BH15-BB15</f>
        <v>2204684</v>
      </c>
      <c r="BF15" s="15">
        <f t="shared" ref="BF15:BF16" si="78">(BE15/BD15-1)*100</f>
        <v>-8.084510999962891</v>
      </c>
      <c r="BG15" s="66">
        <v>19868603</v>
      </c>
      <c r="BH15" s="66">
        <v>19118794</v>
      </c>
      <c r="BI15" s="15">
        <f t="shared" ref="BI15:BI16" si="79">(BH15/BG15-1)*100</f>
        <v>-3.7738385532188667</v>
      </c>
      <c r="BJ15" s="63">
        <f>BM15-BG15</f>
        <v>1984271</v>
      </c>
      <c r="BK15" s="63">
        <f>BN15-BH15</f>
        <v>1839739</v>
      </c>
      <c r="BL15" s="15">
        <f t="shared" ref="BL15:BL16" si="80">(BK15/BJ15-1)*100</f>
        <v>-7.2838841065560045</v>
      </c>
      <c r="BM15" s="66">
        <v>21852874</v>
      </c>
      <c r="BN15" s="66">
        <v>20958533</v>
      </c>
      <c r="BO15" s="15">
        <f t="shared" ref="BO15:BO16" si="81">(BN15/BM15-1)*100</f>
        <v>-4.0925555146659409</v>
      </c>
      <c r="BP15" s="63">
        <f>BS15-BM15</f>
        <v>1833192</v>
      </c>
      <c r="BQ15" s="63">
        <f>BT15-BN15</f>
        <v>2523235</v>
      </c>
      <c r="BR15" s="15">
        <f t="shared" ref="BR15:BR16" si="82">(BQ15/BP15-1)*100</f>
        <v>37.641610916914317</v>
      </c>
      <c r="BS15" s="66">
        <v>23686066</v>
      </c>
      <c r="BT15" s="66">
        <v>23481768</v>
      </c>
      <c r="BU15" s="15">
        <f t="shared" ref="BU15:BU16" si="83">(BT15/BS15-1)*100</f>
        <v>-0.86252398350996629</v>
      </c>
      <c r="BV15" s="63">
        <f>BY15-BS15</f>
        <v>2433977</v>
      </c>
      <c r="BW15" s="63">
        <f>BZ15-BT15</f>
        <v>2106682</v>
      </c>
      <c r="BX15" s="15">
        <f t="shared" ref="BX15:BX16" si="84">(BW15/BV15-1)*100</f>
        <v>-13.44692246475624</v>
      </c>
      <c r="BY15" s="66">
        <v>26120043</v>
      </c>
      <c r="BZ15" s="66">
        <v>25588450</v>
      </c>
      <c r="CA15" s="15">
        <f t="shared" ref="CA15:CA16" si="85">(BZ15/BY15-1)*100</f>
        <v>-2.0351919022491671</v>
      </c>
      <c r="CB15" s="108"/>
    </row>
    <row r="16" spans="1:80" s="1" customFormat="1" ht="19.5" customHeight="1">
      <c r="A16" s="152"/>
      <c r="B16" s="120"/>
      <c r="C16" s="33" t="s">
        <v>104</v>
      </c>
      <c r="D16" s="17">
        <v>47036820</v>
      </c>
      <c r="E16" s="17">
        <v>54293347</v>
      </c>
      <c r="F16" s="17">
        <v>66832867</v>
      </c>
      <c r="G16" s="17">
        <v>73447603</v>
      </c>
      <c r="H16" s="17">
        <v>79553147</v>
      </c>
      <c r="I16" s="17">
        <v>66335593</v>
      </c>
      <c r="J16" s="17">
        <v>61003475</v>
      </c>
      <c r="K16" s="17">
        <v>6690323</v>
      </c>
      <c r="L16" s="17">
        <v>4741794</v>
      </c>
      <c r="M16" s="18">
        <f t="shared" si="0"/>
        <v>-29.124587856221595</v>
      </c>
      <c r="N16" s="17">
        <f>Q16-K16</f>
        <v>5348341</v>
      </c>
      <c r="O16" s="17">
        <f>R16-L16</f>
        <v>3889807</v>
      </c>
      <c r="P16" s="18">
        <f t="shared" si="1"/>
        <v>-27.270774245696007</v>
      </c>
      <c r="Q16" s="17">
        <v>12038664</v>
      </c>
      <c r="R16" s="17">
        <v>8631601</v>
      </c>
      <c r="S16" s="18">
        <f t="shared" si="2"/>
        <v>-28.301005825895629</v>
      </c>
      <c r="T16" s="17">
        <f>W16-Q16</f>
        <v>5185297</v>
      </c>
      <c r="U16" s="17">
        <f>X16-R16</f>
        <v>5782181</v>
      </c>
      <c r="V16" s="18">
        <f t="shared" si="66"/>
        <v>11.511086057365659</v>
      </c>
      <c r="W16" s="17">
        <v>17223961</v>
      </c>
      <c r="X16" s="17">
        <v>14413782</v>
      </c>
      <c r="Y16" s="18">
        <f t="shared" si="67"/>
        <v>-16.315521151029078</v>
      </c>
      <c r="Z16" s="17">
        <f>AC16-W16</f>
        <v>5469100</v>
      </c>
      <c r="AA16" s="17">
        <f>AD16-X16</f>
        <v>3862543</v>
      </c>
      <c r="AB16" s="18">
        <f t="shared" si="68"/>
        <v>-29.37516227532867</v>
      </c>
      <c r="AC16" s="17">
        <v>22693061</v>
      </c>
      <c r="AD16" s="17">
        <v>18276325</v>
      </c>
      <c r="AE16" s="18">
        <f t="shared" si="69"/>
        <v>-19.462936269373266</v>
      </c>
      <c r="AF16" s="17">
        <f>AI16-AC16</f>
        <v>4035336</v>
      </c>
      <c r="AG16" s="17">
        <f>AJ16-AD16</f>
        <v>3629564</v>
      </c>
      <c r="AH16" s="18">
        <f t="shared" si="70"/>
        <v>-10.055469978212471</v>
      </c>
      <c r="AI16" s="17">
        <v>26728397</v>
      </c>
      <c r="AJ16" s="17">
        <v>21905889</v>
      </c>
      <c r="AK16" s="18">
        <f t="shared" si="71"/>
        <v>-18.042638322081196</v>
      </c>
      <c r="AL16" s="17">
        <f>AO16-AI16</f>
        <v>4230815</v>
      </c>
      <c r="AM16" s="17">
        <f>AP16-AJ16</f>
        <v>5475023</v>
      </c>
      <c r="AN16" s="18">
        <f t="shared" si="72"/>
        <v>29.408234583644056</v>
      </c>
      <c r="AO16" s="17">
        <v>30959212</v>
      </c>
      <c r="AP16" s="17">
        <v>27380912</v>
      </c>
      <c r="AQ16" s="18">
        <f t="shared" si="73"/>
        <v>-11.558110716771475</v>
      </c>
      <c r="AR16" s="17">
        <f>AU16-AO16</f>
        <v>5189072</v>
      </c>
      <c r="AS16" s="17">
        <f>AV16-AP16</f>
        <v>4381517</v>
      </c>
      <c r="AT16" s="18">
        <f t="shared" si="74"/>
        <v>-15.562609268092642</v>
      </c>
      <c r="AU16" s="17">
        <v>36148284</v>
      </c>
      <c r="AV16" s="17">
        <v>31762429</v>
      </c>
      <c r="AW16" s="18">
        <f t="shared" si="75"/>
        <v>-12.132954914263705</v>
      </c>
      <c r="AX16" s="17">
        <f>BA16-AU16</f>
        <v>5492528</v>
      </c>
      <c r="AY16" s="17">
        <f>BB16-AV16</f>
        <v>4614038</v>
      </c>
      <c r="AZ16" s="18">
        <f t="shared" si="76"/>
        <v>-15.994274403334863</v>
      </c>
      <c r="BA16" s="17">
        <v>41640812</v>
      </c>
      <c r="BB16" s="17">
        <v>36376467</v>
      </c>
      <c r="BC16" s="18">
        <f t="shared" si="77"/>
        <v>-12.642272681906396</v>
      </c>
      <c r="BD16" s="17">
        <f>BG16-BA16</f>
        <v>5647974</v>
      </c>
      <c r="BE16" s="17">
        <f>BH16-BB16</f>
        <v>4924041</v>
      </c>
      <c r="BF16" s="18">
        <f t="shared" si="78"/>
        <v>-12.817569627622227</v>
      </c>
      <c r="BG16" s="17">
        <v>47288786</v>
      </c>
      <c r="BH16" s="17">
        <v>41300508</v>
      </c>
      <c r="BI16" s="18">
        <f t="shared" si="79"/>
        <v>-12.663209412903942</v>
      </c>
      <c r="BJ16" s="17">
        <f>BM16-BG16</f>
        <v>4541301</v>
      </c>
      <c r="BK16" s="17">
        <f>BN16-BH16</f>
        <v>4335501</v>
      </c>
      <c r="BL16" s="18">
        <f t="shared" si="80"/>
        <v>-4.5317410143040471</v>
      </c>
      <c r="BM16" s="17">
        <v>51830087</v>
      </c>
      <c r="BN16" s="17">
        <v>45636009</v>
      </c>
      <c r="BO16" s="18">
        <f t="shared" si="81"/>
        <v>-11.950738188033528</v>
      </c>
      <c r="BP16" s="17">
        <f>BS16-BM16</f>
        <v>4179577</v>
      </c>
      <c r="BQ16" s="17">
        <f>BT16-BN16</f>
        <v>6130905</v>
      </c>
      <c r="BR16" s="18">
        <f t="shared" si="82"/>
        <v>46.68721260548616</v>
      </c>
      <c r="BS16" s="17">
        <v>56009664</v>
      </c>
      <c r="BT16" s="17">
        <v>51766914</v>
      </c>
      <c r="BU16" s="18">
        <f t="shared" si="83"/>
        <v>-7.5750320516116627</v>
      </c>
      <c r="BV16" s="17">
        <f>BY16-BS16</f>
        <v>4993811</v>
      </c>
      <c r="BW16" s="17">
        <f>BZ16-BT16</f>
        <v>5225128</v>
      </c>
      <c r="BX16" s="18">
        <f t="shared" si="84"/>
        <v>4.6320735806781643</v>
      </c>
      <c r="BY16" s="17">
        <v>61003475</v>
      </c>
      <c r="BZ16" s="17">
        <v>56992042</v>
      </c>
      <c r="CA16" s="18">
        <f t="shared" si="85"/>
        <v>-6.5757450702603411</v>
      </c>
      <c r="CB16" s="108"/>
    </row>
    <row r="17" spans="1:80" s="1" customFormat="1" ht="19.5" customHeight="1">
      <c r="A17" s="153"/>
      <c r="B17" s="121"/>
      <c r="C17" s="93" t="s">
        <v>105</v>
      </c>
      <c r="D17" s="64">
        <f t="shared" ref="D17:L17" si="86">D16/D15</f>
        <v>2.7606837732247804</v>
      </c>
      <c r="E17" s="64">
        <f t="shared" si="86"/>
        <v>2.9420641992638195</v>
      </c>
      <c r="F17" s="64">
        <f t="shared" si="86"/>
        <v>3.1820694105120531</v>
      </c>
      <c r="G17" s="64">
        <f t="shared" si="86"/>
        <v>3.2247158985262723</v>
      </c>
      <c r="H17" s="64">
        <f>H16/H15</f>
        <v>2.922364175870066</v>
      </c>
      <c r="I17" s="64">
        <f>I16/I15</f>
        <v>2.5997789453218094</v>
      </c>
      <c r="J17" s="64">
        <f>J16/J15</f>
        <v>2.3355043864208032</v>
      </c>
      <c r="K17" s="64">
        <f t="shared" si="86"/>
        <v>2.6027311407387121</v>
      </c>
      <c r="L17" s="64">
        <f t="shared" si="86"/>
        <v>2.0693430226900098</v>
      </c>
      <c r="M17" s="65"/>
      <c r="N17" s="64">
        <f>N16/N15</f>
        <v>2.5223799788243007</v>
      </c>
      <c r="O17" s="64">
        <f>O16/O15</f>
        <v>1.9754207880440993</v>
      </c>
      <c r="P17" s="65"/>
      <c r="Q17" s="64">
        <f>Q16/Q15</f>
        <v>2.5664109066660754</v>
      </c>
      <c r="R17" s="64">
        <f>R16/R15</f>
        <v>2.0259349023319042</v>
      </c>
      <c r="S17" s="65"/>
      <c r="T17" s="64">
        <f>T16/T15</f>
        <v>2.5245991911034031</v>
      </c>
      <c r="U17" s="64">
        <f>U16/U15</f>
        <v>2.1758299278258186</v>
      </c>
      <c r="V17" s="65"/>
      <c r="W17" s="64">
        <f>W16/W15</f>
        <v>2.5536784454313826</v>
      </c>
      <c r="X17" s="64">
        <f>X16/X15</f>
        <v>2.0835150329314258</v>
      </c>
      <c r="Y17" s="65"/>
      <c r="Z17" s="64">
        <f>Z16/Z15</f>
        <v>2.3948763107756079</v>
      </c>
      <c r="AA17" s="64">
        <f>AA16/AA15</f>
        <v>2.2437104196461455</v>
      </c>
      <c r="AB17" s="65"/>
      <c r="AC17" s="64">
        <f>AC16/AC15</f>
        <v>2.5135107624446857</v>
      </c>
      <c r="AD17" s="64">
        <f>AD16/AD15</f>
        <v>2.1154353661260883</v>
      </c>
      <c r="AE17" s="65"/>
      <c r="AF17" s="64">
        <f>AF16/AF15</f>
        <v>2.4230372930532171</v>
      </c>
      <c r="AG17" s="64">
        <f>AG16/AG15</f>
        <v>2.108695083826341</v>
      </c>
      <c r="AH17" s="65"/>
      <c r="AI17" s="64">
        <f>AI16/AI15</f>
        <v>2.4994208813376231</v>
      </c>
      <c r="AJ17" s="64">
        <f>AJ16/AJ15</f>
        <v>2.1143155990586391</v>
      </c>
      <c r="AK17" s="65"/>
      <c r="AL17" s="64">
        <f>AL16/AL15</f>
        <v>2.1840060376392292</v>
      </c>
      <c r="AM17" s="64">
        <f>AM16/AM15</f>
        <v>2.2824264738680986</v>
      </c>
      <c r="AN17" s="65"/>
      <c r="AO17" s="64">
        <f>AO16/AO15</f>
        <v>2.4510466576048469</v>
      </c>
      <c r="AP17" s="64">
        <f>AP16/AP15</f>
        <v>2.1459202227043024</v>
      </c>
      <c r="AQ17" s="65"/>
      <c r="AR17" s="64">
        <f>AR16/AR15</f>
        <v>2.2352276290805584</v>
      </c>
      <c r="AS17" s="64">
        <f>AS16/AS15</f>
        <v>2.2645792545394778</v>
      </c>
      <c r="AT17" s="65"/>
      <c r="AU17" s="64">
        <f>AU16/AU15</f>
        <v>2.417539045109006</v>
      </c>
      <c r="AV17" s="64">
        <f>AV16/AV15</f>
        <v>2.1615440764746987</v>
      </c>
      <c r="AW17" s="65"/>
      <c r="AX17" s="64">
        <f>AX16/AX15</f>
        <v>2.181746826503054</v>
      </c>
      <c r="AY17" s="64">
        <f>AY16/AY15</f>
        <v>2.0785958646464118</v>
      </c>
      <c r="AZ17" s="65"/>
      <c r="BA17" s="64">
        <f>BA16/BA15</f>
        <v>2.3835605303811036</v>
      </c>
      <c r="BB17" s="64">
        <f>BB16/BB15</f>
        <v>2.1506580600457252</v>
      </c>
      <c r="BC17" s="65"/>
      <c r="BD17" s="64">
        <f>BD16/BD15</f>
        <v>2.3546970544055092</v>
      </c>
      <c r="BE17" s="64">
        <f>BE16/BE15</f>
        <v>2.2334452465750192</v>
      </c>
      <c r="BF17" s="65"/>
      <c r="BG17" s="64">
        <f>BG16/BG15</f>
        <v>2.3800760425883993</v>
      </c>
      <c r="BH17" s="64">
        <f>BH16/BH15</f>
        <v>2.1602046656290139</v>
      </c>
      <c r="BI17" s="65"/>
      <c r="BJ17" s="64">
        <f>BJ16/BJ15</f>
        <v>2.2886495846585473</v>
      </c>
      <c r="BK17" s="64">
        <f>BK16/BK15</f>
        <v>2.356584819911955</v>
      </c>
      <c r="BL17" s="65"/>
      <c r="BM17" s="64">
        <f>BM16/BM15</f>
        <v>2.3717743945258642</v>
      </c>
      <c r="BN17" s="64">
        <f>BN16/BN15</f>
        <v>2.1774429059514806</v>
      </c>
      <c r="BO17" s="65"/>
      <c r="BP17" s="64">
        <f>BP16/BP15</f>
        <v>2.2799450357627569</v>
      </c>
      <c r="BQ17" s="64">
        <f>BQ16/BQ15</f>
        <v>2.429779628136103</v>
      </c>
      <c r="BR17" s="65"/>
      <c r="BS17" s="64">
        <f>BS16/BS15</f>
        <v>2.3646672267146429</v>
      </c>
      <c r="BT17" s="64">
        <f>BT16/BT15</f>
        <v>2.204557765837734</v>
      </c>
      <c r="BU17" s="65"/>
      <c r="BV17" s="64">
        <f>BV16/BV15</f>
        <v>2.0517083768663387</v>
      </c>
      <c r="BW17" s="64">
        <f>BW16/BW15</f>
        <v>2.4802642259249379</v>
      </c>
      <c r="BX17" s="65"/>
      <c r="BY17" s="64">
        <f>BY16/BY15</f>
        <v>2.3355043864208032</v>
      </c>
      <c r="BZ17" s="64">
        <f>BZ16/BZ15</f>
        <v>2.2272565161234854</v>
      </c>
      <c r="CA17" s="65"/>
      <c r="CB17" s="108"/>
    </row>
    <row r="18" spans="1:80" s="1" customFormat="1" ht="19.5" customHeight="1">
      <c r="A18" s="164" t="s">
        <v>163</v>
      </c>
      <c r="B18" s="114">
        <v>8105</v>
      </c>
      <c r="C18" s="32" t="s">
        <v>42</v>
      </c>
      <c r="D18" s="66">
        <v>1189951</v>
      </c>
      <c r="E18" s="66">
        <v>1681107</v>
      </c>
      <c r="F18" s="66">
        <v>2887217</v>
      </c>
      <c r="G18" s="66">
        <v>3281234</v>
      </c>
      <c r="H18" s="66">
        <v>2559808</v>
      </c>
      <c r="I18" s="66">
        <v>3335666</v>
      </c>
      <c r="J18" s="66">
        <v>4148658</v>
      </c>
      <c r="K18" s="66">
        <v>297180</v>
      </c>
      <c r="L18" s="66">
        <v>270347</v>
      </c>
      <c r="M18" s="15">
        <f t="shared" si="0"/>
        <v>-9.0292078874755983</v>
      </c>
      <c r="N18" s="63">
        <f>Q18-K18</f>
        <v>339249</v>
      </c>
      <c r="O18" s="63">
        <f>R18-L18</f>
        <v>436126</v>
      </c>
      <c r="P18" s="15">
        <f t="shared" si="1"/>
        <v>28.556311146090341</v>
      </c>
      <c r="Q18" s="66">
        <v>636429</v>
      </c>
      <c r="R18" s="66">
        <v>706473</v>
      </c>
      <c r="S18" s="15">
        <f t="shared" si="2"/>
        <v>11.005783834489002</v>
      </c>
      <c r="T18" s="63">
        <f>W18-Q18</f>
        <v>360555</v>
      </c>
      <c r="U18" s="63">
        <f>X18-R18</f>
        <v>334280</v>
      </c>
      <c r="V18" s="15">
        <f t="shared" ref="V18:V19" si="87">(U18/T18-1)*100</f>
        <v>-7.2873764058188018</v>
      </c>
      <c r="W18" s="66">
        <v>996984</v>
      </c>
      <c r="X18" s="66">
        <v>1040753</v>
      </c>
      <c r="Y18" s="15">
        <f t="shared" ref="Y18:Y19" si="88">(X18/W18-1)*100</f>
        <v>4.3901406642433471</v>
      </c>
      <c r="Z18" s="63">
        <f>AC18-W18</f>
        <v>266356</v>
      </c>
      <c r="AA18" s="63">
        <f>AD18-X18</f>
        <v>274821</v>
      </c>
      <c r="AB18" s="15">
        <f t="shared" ref="AB18:AB19" si="89">(AA18/Z18-1)*100</f>
        <v>3.178077460241191</v>
      </c>
      <c r="AC18" s="66">
        <v>1263340</v>
      </c>
      <c r="AD18" s="66">
        <v>1315574</v>
      </c>
      <c r="AE18" s="15">
        <f t="shared" ref="AE18:AE19" si="90">(AD18/AC18-1)*100</f>
        <v>4.1345955958016045</v>
      </c>
      <c r="AF18" s="63">
        <f>AI18-AC18</f>
        <v>366415</v>
      </c>
      <c r="AG18" s="63">
        <f>AJ18-AD18</f>
        <v>194712</v>
      </c>
      <c r="AH18" s="15">
        <f t="shared" ref="AH18:AH19" si="91">(AG18/AF18-1)*100</f>
        <v>-46.860254083484577</v>
      </c>
      <c r="AI18" s="66">
        <v>1629755</v>
      </c>
      <c r="AJ18" s="66">
        <v>1510286</v>
      </c>
      <c r="AK18" s="15">
        <f t="shared" ref="AK18:AK19" si="92">(AJ18/AI18-1)*100</f>
        <v>-7.3304883249322721</v>
      </c>
      <c r="AL18" s="63">
        <f>AO18-AI18</f>
        <v>470417</v>
      </c>
      <c r="AM18" s="63">
        <f>AP18-AJ18</f>
        <v>159707</v>
      </c>
      <c r="AN18" s="15">
        <f t="shared" ref="AN18:AN19" si="93">(AM18/AL18-1)*100</f>
        <v>-66.049908910604842</v>
      </c>
      <c r="AO18" s="66">
        <v>2100172</v>
      </c>
      <c r="AP18" s="66">
        <v>1669993</v>
      </c>
      <c r="AQ18" s="15">
        <f t="shared" ref="AQ18:AQ19" si="94">(AP18/AO18-1)*100</f>
        <v>-20.483036627476224</v>
      </c>
      <c r="AR18" s="63">
        <f>AU18-AO18</f>
        <v>404566</v>
      </c>
      <c r="AS18" s="63">
        <f>AV18-AP18</f>
        <v>281724</v>
      </c>
      <c r="AT18" s="15">
        <f t="shared" ref="AT18:AT19" si="95">(AS18/AR18-1)*100</f>
        <v>-30.363896125724853</v>
      </c>
      <c r="AU18" s="66">
        <v>2504738</v>
      </c>
      <c r="AV18" s="66">
        <v>1951717</v>
      </c>
      <c r="AW18" s="15">
        <f t="shared" ref="AW18:AW19" si="96">(AV18/AU18-1)*100</f>
        <v>-22.078995886994967</v>
      </c>
      <c r="AX18" s="63">
        <f>BA18-AU18</f>
        <v>215115</v>
      </c>
      <c r="AY18" s="63">
        <f>BB18-AV18</f>
        <v>405430</v>
      </c>
      <c r="AZ18" s="15">
        <f t="shared" ref="AZ18:AZ19" si="97">(AY18/AX18-1)*100</f>
        <v>88.471282802222078</v>
      </c>
      <c r="BA18" s="66">
        <v>2719853</v>
      </c>
      <c r="BB18" s="66">
        <v>2357147</v>
      </c>
      <c r="BC18" s="15">
        <f t="shared" ref="BC18:BC19" si="98">(BB18/BA18-1)*100</f>
        <v>-13.335500117101917</v>
      </c>
      <c r="BD18" s="63">
        <f>BG18-BA18</f>
        <v>482112</v>
      </c>
      <c r="BE18" s="63">
        <f>BH18-BB18</f>
        <v>222644</v>
      </c>
      <c r="BF18" s="15">
        <f t="shared" ref="BF18:BF19" si="99">(BE18/BD18-1)*100</f>
        <v>-53.819029603079784</v>
      </c>
      <c r="BG18" s="66">
        <v>3201965</v>
      </c>
      <c r="BH18" s="66">
        <v>2579791</v>
      </c>
      <c r="BI18" s="15">
        <f t="shared" ref="BI18:BI19" si="100">(BH18/BG18-1)*100</f>
        <v>-19.431005648094214</v>
      </c>
      <c r="BJ18" s="63">
        <f>BM18-BG18</f>
        <v>331948</v>
      </c>
      <c r="BK18" s="63">
        <f>BN18-BH18</f>
        <v>332371</v>
      </c>
      <c r="BL18" s="15">
        <f t="shared" ref="BL18:BL19" si="101">(BK18/BJ18-1)*100</f>
        <v>0.12742959740681403</v>
      </c>
      <c r="BM18" s="66">
        <v>3533913</v>
      </c>
      <c r="BN18" s="66">
        <v>2912162</v>
      </c>
      <c r="BO18" s="15">
        <f t="shared" ref="BO18:BO19" si="102">(BN18/BM18-1)*100</f>
        <v>-17.593840029451769</v>
      </c>
      <c r="BP18" s="63">
        <f>BS18-BM18</f>
        <v>322273</v>
      </c>
      <c r="BQ18" s="63">
        <f>BT18-BN18</f>
        <v>435606</v>
      </c>
      <c r="BR18" s="15">
        <f t="shared" ref="BR18:BR19" si="103">(BQ18/BP18-1)*100</f>
        <v>35.166768547163429</v>
      </c>
      <c r="BS18" s="66">
        <v>3856186</v>
      </c>
      <c r="BT18" s="66">
        <v>3347768</v>
      </c>
      <c r="BU18" s="15">
        <f t="shared" ref="BU18:BU19" si="104">(BT18/BS18-1)*100</f>
        <v>-13.184478134612798</v>
      </c>
      <c r="BV18" s="63">
        <f>BY18-BS18</f>
        <v>292472</v>
      </c>
      <c r="BW18" s="63">
        <f>BZ18-BT18</f>
        <v>214767</v>
      </c>
      <c r="BX18" s="15">
        <f t="shared" ref="BX18:BX19" si="105">(BW18/BV18-1)*100</f>
        <v>-26.568355261358356</v>
      </c>
      <c r="BY18" s="66">
        <v>4148658</v>
      </c>
      <c r="BZ18" s="66">
        <v>3562535</v>
      </c>
      <c r="CA18" s="15">
        <f t="shared" ref="CA18:CA19" si="106">(BZ18/BY18-1)*100</f>
        <v>-14.128014408514755</v>
      </c>
      <c r="CB18" s="108"/>
    </row>
    <row r="19" spans="1:80" s="1" customFormat="1" ht="19.5" customHeight="1">
      <c r="A19" s="152"/>
      <c r="B19" s="120"/>
      <c r="C19" s="33" t="s">
        <v>104</v>
      </c>
      <c r="D19" s="17">
        <v>45230243</v>
      </c>
      <c r="E19" s="17">
        <v>64525144</v>
      </c>
      <c r="F19" s="17">
        <v>91340405</v>
      </c>
      <c r="G19" s="17">
        <v>93782993</v>
      </c>
      <c r="H19" s="17">
        <v>72102871</v>
      </c>
      <c r="I19" s="17">
        <v>81898526</v>
      </c>
      <c r="J19" s="17">
        <v>87785652</v>
      </c>
      <c r="K19" s="17">
        <v>8459126</v>
      </c>
      <c r="L19" s="17">
        <v>5643481</v>
      </c>
      <c r="M19" s="18">
        <f t="shared" si="0"/>
        <v>-33.285294485505943</v>
      </c>
      <c r="N19" s="17">
        <f>Q19-K19</f>
        <v>9975229</v>
      </c>
      <c r="O19" s="17">
        <f>R19-L19</f>
        <v>7992172</v>
      </c>
      <c r="P19" s="18">
        <f t="shared" si="1"/>
        <v>-19.879814287972742</v>
      </c>
      <c r="Q19" s="17">
        <v>18434355</v>
      </c>
      <c r="R19" s="17">
        <v>13635653</v>
      </c>
      <c r="S19" s="18">
        <f t="shared" si="2"/>
        <v>-26.031298626938671</v>
      </c>
      <c r="T19" s="17">
        <f>W19-Q19</f>
        <v>7725849</v>
      </c>
      <c r="U19" s="17">
        <f>X19-R19</f>
        <v>5479646</v>
      </c>
      <c r="V19" s="18">
        <f t="shared" si="87"/>
        <v>-29.073866186098119</v>
      </c>
      <c r="W19" s="17">
        <v>26160204</v>
      </c>
      <c r="X19" s="17">
        <v>19115299</v>
      </c>
      <c r="Y19" s="18">
        <f t="shared" si="88"/>
        <v>-26.929854981253211</v>
      </c>
      <c r="Z19" s="17">
        <f>AC19-W19</f>
        <v>6123146</v>
      </c>
      <c r="AA19" s="17">
        <f>AD19-X19</f>
        <v>5630985</v>
      </c>
      <c r="AB19" s="18">
        <f t="shared" si="89"/>
        <v>-8.0377145996518795</v>
      </c>
      <c r="AC19" s="17">
        <v>32283350</v>
      </c>
      <c r="AD19" s="17">
        <v>24746284</v>
      </c>
      <c r="AE19" s="18">
        <f t="shared" si="90"/>
        <v>-23.346604364169142</v>
      </c>
      <c r="AF19" s="17">
        <f>AI19-AC19</f>
        <v>7768023</v>
      </c>
      <c r="AG19" s="17">
        <f>AJ19-AD19</f>
        <v>4598631</v>
      </c>
      <c r="AH19" s="18">
        <f t="shared" si="91"/>
        <v>-40.800497114902981</v>
      </c>
      <c r="AI19" s="17">
        <v>40051373</v>
      </c>
      <c r="AJ19" s="17">
        <v>29344915</v>
      </c>
      <c r="AK19" s="18">
        <f t="shared" si="92"/>
        <v>-26.731812664699405</v>
      </c>
      <c r="AL19" s="17">
        <f>AO19-AI19</f>
        <v>8618589</v>
      </c>
      <c r="AM19" s="17">
        <f>AP19-AJ19</f>
        <v>4391368</v>
      </c>
      <c r="AN19" s="18">
        <f t="shared" si="93"/>
        <v>-49.047715351085898</v>
      </c>
      <c r="AO19" s="17">
        <v>48669962</v>
      </c>
      <c r="AP19" s="17">
        <v>33736283</v>
      </c>
      <c r="AQ19" s="18">
        <f t="shared" si="94"/>
        <v>-30.683564125240125</v>
      </c>
      <c r="AR19" s="17">
        <f>AU19-AO19</f>
        <v>7349536</v>
      </c>
      <c r="AS19" s="17">
        <f>AV19-AP19</f>
        <v>5921878</v>
      </c>
      <c r="AT19" s="18">
        <f t="shared" si="95"/>
        <v>-19.425144662193638</v>
      </c>
      <c r="AU19" s="17">
        <v>56019498</v>
      </c>
      <c r="AV19" s="17">
        <v>39658161</v>
      </c>
      <c r="AW19" s="18">
        <f t="shared" si="96"/>
        <v>-29.206504135399424</v>
      </c>
      <c r="AX19" s="17">
        <f>BA19-AU19</f>
        <v>6741222</v>
      </c>
      <c r="AY19" s="17">
        <f>BB19-AV19</f>
        <v>6144643</v>
      </c>
      <c r="AZ19" s="18">
        <f t="shared" si="97"/>
        <v>-8.849715971377293</v>
      </c>
      <c r="BA19" s="17">
        <v>62760720</v>
      </c>
      <c r="BB19" s="17">
        <v>45802804</v>
      </c>
      <c r="BC19" s="18">
        <f t="shared" si="98"/>
        <v>-27.019951332616966</v>
      </c>
      <c r="BD19" s="17">
        <f>BG19-BA19</f>
        <v>8141883</v>
      </c>
      <c r="BE19" s="17">
        <f>BH19-BB19</f>
        <v>5056149</v>
      </c>
      <c r="BF19" s="18">
        <f t="shared" si="99"/>
        <v>-37.899512925941096</v>
      </c>
      <c r="BG19" s="17">
        <v>70902603</v>
      </c>
      <c r="BH19" s="17">
        <v>50858953</v>
      </c>
      <c r="BI19" s="18">
        <f t="shared" si="100"/>
        <v>-28.269272427135007</v>
      </c>
      <c r="BJ19" s="17">
        <f>BM19-BG19</f>
        <v>5042164</v>
      </c>
      <c r="BK19" s="17">
        <f>BN19-BH19</f>
        <v>5653828</v>
      </c>
      <c r="BL19" s="18">
        <f t="shared" si="101"/>
        <v>12.130981856203004</v>
      </c>
      <c r="BM19" s="17">
        <v>75944767</v>
      </c>
      <c r="BN19" s="17">
        <v>56512781</v>
      </c>
      <c r="BO19" s="18">
        <f t="shared" si="102"/>
        <v>-25.586997982362625</v>
      </c>
      <c r="BP19" s="17">
        <f>BS19-BM19</f>
        <v>6271667</v>
      </c>
      <c r="BQ19" s="17">
        <f>BT19-BN19</f>
        <v>7835527</v>
      </c>
      <c r="BR19" s="18">
        <f t="shared" si="103"/>
        <v>24.935316240482798</v>
      </c>
      <c r="BS19" s="17">
        <v>82216434</v>
      </c>
      <c r="BT19" s="17">
        <v>64348308</v>
      </c>
      <c r="BU19" s="18">
        <f t="shared" si="104"/>
        <v>-21.733034541488383</v>
      </c>
      <c r="BV19" s="17">
        <f>BY19-BS19</f>
        <v>5569218</v>
      </c>
      <c r="BW19" s="17">
        <f>BZ19-BT19</f>
        <v>4707140</v>
      </c>
      <c r="BX19" s="18">
        <f t="shared" si="105"/>
        <v>-15.47933659626899</v>
      </c>
      <c r="BY19" s="17">
        <v>87785652</v>
      </c>
      <c r="BZ19" s="17">
        <v>69055448</v>
      </c>
      <c r="CA19" s="18">
        <f t="shared" si="106"/>
        <v>-21.336293088077763</v>
      </c>
      <c r="CB19" s="108"/>
    </row>
    <row r="20" spans="1:80" s="1" customFormat="1" ht="19.5" customHeight="1">
      <c r="A20" s="153"/>
      <c r="B20" s="121"/>
      <c r="C20" s="93" t="s">
        <v>105</v>
      </c>
      <c r="D20" s="64">
        <f t="shared" ref="D20:L20" si="107">D19/D18</f>
        <v>38.010172687782941</v>
      </c>
      <c r="E20" s="64">
        <f t="shared" si="107"/>
        <v>38.382532462240654</v>
      </c>
      <c r="F20" s="64">
        <f t="shared" si="107"/>
        <v>31.636141308394901</v>
      </c>
      <c r="G20" s="64">
        <f t="shared" si="107"/>
        <v>28.581622950390006</v>
      </c>
      <c r="H20" s="64">
        <f>H19/H18</f>
        <v>28.16729653161487</v>
      </c>
      <c r="I20" s="64">
        <f>I19/I18</f>
        <v>24.552376047242142</v>
      </c>
      <c r="J20" s="64">
        <f>J19/J18</f>
        <v>21.160011743556591</v>
      </c>
      <c r="K20" s="64">
        <f t="shared" si="107"/>
        <v>28.464654418197725</v>
      </c>
      <c r="L20" s="64">
        <f t="shared" si="107"/>
        <v>20.874953300757916</v>
      </c>
      <c r="M20" s="65"/>
      <c r="N20" s="64">
        <f>N19/N18</f>
        <v>29.403856754183504</v>
      </c>
      <c r="O20" s="64">
        <f>O19/O18</f>
        <v>18.325373859847844</v>
      </c>
      <c r="P20" s="65"/>
      <c r="Q20" s="64">
        <f>Q19/Q18</f>
        <v>28.965296993065998</v>
      </c>
      <c r="R20" s="64">
        <f>R19/R18</f>
        <v>19.30102495070583</v>
      </c>
      <c r="S20" s="65"/>
      <c r="T20" s="64">
        <f>T19/T18</f>
        <v>21.427657361567583</v>
      </c>
      <c r="U20" s="64">
        <f>U19/U18</f>
        <v>16.392383630489409</v>
      </c>
      <c r="V20" s="65"/>
      <c r="W20" s="64">
        <f>W19/W18</f>
        <v>26.239341855034784</v>
      </c>
      <c r="X20" s="64">
        <f>X19/X18</f>
        <v>18.366796924918784</v>
      </c>
      <c r="Y20" s="65"/>
      <c r="Z20" s="64">
        <f>Z19/Z18</f>
        <v>22.988579194761897</v>
      </c>
      <c r="AA20" s="64">
        <f>AA19/AA18</f>
        <v>20.489645987752027</v>
      </c>
      <c r="AB20" s="65"/>
      <c r="AC20" s="64">
        <f>AC19/AC18</f>
        <v>25.553968052939034</v>
      </c>
      <c r="AD20" s="64">
        <f>AD19/AD18</f>
        <v>18.810256207556549</v>
      </c>
      <c r="AE20" s="65"/>
      <c r="AF20" s="64">
        <f>AF19/AF18</f>
        <v>21.200068228647844</v>
      </c>
      <c r="AG20" s="64">
        <f>AG19/AG18</f>
        <v>23.617604461974608</v>
      </c>
      <c r="AH20" s="65"/>
      <c r="AI20" s="64">
        <f>AI19/AI18</f>
        <v>24.575088280140267</v>
      </c>
      <c r="AJ20" s="64">
        <f>AJ19/AJ18</f>
        <v>19.430038416564809</v>
      </c>
      <c r="AK20" s="65"/>
      <c r="AL20" s="64">
        <f>AL19/AL18</f>
        <v>18.321168240093364</v>
      </c>
      <c r="AM20" s="64">
        <f>AM19/AM18</f>
        <v>27.496402787604801</v>
      </c>
      <c r="AN20" s="65"/>
      <c r="AO20" s="64">
        <f>AO19/AO18</f>
        <v>23.174274297533724</v>
      </c>
      <c r="AP20" s="64">
        <f>AP19/AP18</f>
        <v>20.201451742612093</v>
      </c>
      <c r="AQ20" s="65"/>
      <c r="AR20" s="64">
        <f>AR19/AR18</f>
        <v>18.166469747828536</v>
      </c>
      <c r="AS20" s="64">
        <f>AS19/AS18</f>
        <v>21.020140279138449</v>
      </c>
      <c r="AT20" s="65"/>
      <c r="AU20" s="64">
        <f>AU19/AU18</f>
        <v>22.365412270664635</v>
      </c>
      <c r="AV20" s="64">
        <f>AV19/AV18</f>
        <v>20.319626769659742</v>
      </c>
      <c r="AW20" s="65"/>
      <c r="AX20" s="64">
        <f>AX19/AX18</f>
        <v>31.337758873160869</v>
      </c>
      <c r="AY20" s="64">
        <f>AY19/AY18</f>
        <v>15.155866610758947</v>
      </c>
      <c r="AZ20" s="65"/>
      <c r="BA20" s="64">
        <f>BA19/BA18</f>
        <v>23.075041187887727</v>
      </c>
      <c r="BB20" s="64">
        <f>BB19/BB18</f>
        <v>19.431458453800293</v>
      </c>
      <c r="BC20" s="65"/>
      <c r="BD20" s="64">
        <f>BD19/BD18</f>
        <v>16.887949273197929</v>
      </c>
      <c r="BE20" s="64">
        <f>BE19/BE18</f>
        <v>22.709567740428668</v>
      </c>
      <c r="BF20" s="65"/>
      <c r="BG20" s="64">
        <f>BG19/BG18</f>
        <v>22.143465965430604</v>
      </c>
      <c r="BH20" s="64">
        <f>BH19/BH18</f>
        <v>19.714369497374012</v>
      </c>
      <c r="BI20" s="65"/>
      <c r="BJ20" s="64">
        <f>BJ19/BJ18</f>
        <v>15.189620060973406</v>
      </c>
      <c r="BK20" s="64">
        <f>BK19/BK18</f>
        <v>17.010593583676073</v>
      </c>
      <c r="BL20" s="65"/>
      <c r="BM20" s="64">
        <f>BM19/BM18</f>
        <v>21.490276359378399</v>
      </c>
      <c r="BN20" s="64">
        <f>BN19/BN18</f>
        <v>19.405782027236121</v>
      </c>
      <c r="BO20" s="65"/>
      <c r="BP20" s="64">
        <f>BP19/BP18</f>
        <v>19.460727395717296</v>
      </c>
      <c r="BQ20" s="64">
        <f>BQ19/BQ18</f>
        <v>17.987647093933507</v>
      </c>
      <c r="BR20" s="65"/>
      <c r="BS20" s="64">
        <f>BS19/BS18</f>
        <v>21.320660880984477</v>
      </c>
      <c r="BT20" s="64">
        <f>BT19/BT18</f>
        <v>19.221256670115732</v>
      </c>
      <c r="BU20" s="65"/>
      <c r="BV20" s="64">
        <f>BV19/BV18</f>
        <v>19.041884351322519</v>
      </c>
      <c r="BW20" s="64">
        <f>BW19/BW18</f>
        <v>21.917426792756803</v>
      </c>
      <c r="BX20" s="65"/>
      <c r="BY20" s="64">
        <f>BY19/BY18</f>
        <v>21.160011743556591</v>
      </c>
      <c r="BZ20" s="64">
        <f>BZ19/BZ18</f>
        <v>19.383794966224894</v>
      </c>
      <c r="CA20" s="65"/>
      <c r="CB20" s="108"/>
    </row>
    <row r="21" spans="1:80" s="1" customFormat="1" ht="19.5" customHeight="1">
      <c r="A21" s="151" t="s">
        <v>164</v>
      </c>
      <c r="B21" s="114">
        <v>8106</v>
      </c>
      <c r="C21" s="32" t="s">
        <v>42</v>
      </c>
      <c r="D21" s="66">
        <v>500370</v>
      </c>
      <c r="E21" s="66">
        <v>464905</v>
      </c>
      <c r="F21" s="66">
        <v>411166</v>
      </c>
      <c r="G21" s="66">
        <v>158923</v>
      </c>
      <c r="H21" s="66">
        <v>90181</v>
      </c>
      <c r="I21" s="66">
        <v>115281</v>
      </c>
      <c r="J21" s="66">
        <v>112079</v>
      </c>
      <c r="K21" s="66">
        <v>7929</v>
      </c>
      <c r="L21" s="66">
        <v>4415</v>
      </c>
      <c r="M21" s="15">
        <f t="shared" si="0"/>
        <v>-44.318325135578249</v>
      </c>
      <c r="N21" s="63">
        <f>Q21-K21</f>
        <v>10337</v>
      </c>
      <c r="O21" s="63">
        <f>R21-L21</f>
        <v>12582</v>
      </c>
      <c r="P21" s="15">
        <f t="shared" si="1"/>
        <v>21.718100029021969</v>
      </c>
      <c r="Q21" s="66">
        <v>18266</v>
      </c>
      <c r="R21" s="66">
        <v>16997</v>
      </c>
      <c r="S21" s="15">
        <f t="shared" si="2"/>
        <v>-6.9473338443008847</v>
      </c>
      <c r="T21" s="63">
        <f>W21-Q21</f>
        <v>6391</v>
      </c>
      <c r="U21" s="63">
        <f>X21-R21</f>
        <v>8047</v>
      </c>
      <c r="V21" s="15">
        <f t="shared" ref="V21:V22" si="108">(U21/T21-1)*100</f>
        <v>25.911437959630735</v>
      </c>
      <c r="W21" s="66">
        <v>24657</v>
      </c>
      <c r="X21" s="66">
        <v>25044</v>
      </c>
      <c r="Y21" s="15">
        <f t="shared" ref="Y21:Y22" si="109">(X21/W21-1)*100</f>
        <v>1.5695340065701391</v>
      </c>
      <c r="Z21" s="63">
        <f>AC21-W21</f>
        <v>18221</v>
      </c>
      <c r="AA21" s="63">
        <f>AD21-X21</f>
        <v>11473</v>
      </c>
      <c r="AB21" s="15">
        <f t="shared" ref="AB21:AB22" si="110">(AA21/Z21-1)*100</f>
        <v>-37.034191317710331</v>
      </c>
      <c r="AC21" s="66">
        <v>42878</v>
      </c>
      <c r="AD21" s="66">
        <v>36517</v>
      </c>
      <c r="AE21" s="15">
        <f t="shared" ref="AE21:AE22" si="111">(AD21/AC21-1)*100</f>
        <v>-14.835113578058678</v>
      </c>
      <c r="AF21" s="63">
        <f>AI21-AC21</f>
        <v>5696</v>
      </c>
      <c r="AG21" s="63">
        <f>AJ21-AD21</f>
        <v>11367</v>
      </c>
      <c r="AH21" s="15">
        <f t="shared" ref="AH21:AH22" si="112">(AG21/AF21-1)*100</f>
        <v>99.561095505617985</v>
      </c>
      <c r="AI21" s="66">
        <v>48574</v>
      </c>
      <c r="AJ21" s="66">
        <v>47884</v>
      </c>
      <c r="AK21" s="15">
        <f t="shared" ref="AK21:AK22" si="113">(AJ21/AI21-1)*100</f>
        <v>-1.4205130316630288</v>
      </c>
      <c r="AL21" s="63">
        <f>AO21-AI21</f>
        <v>11612</v>
      </c>
      <c r="AM21" s="63">
        <f>AP21-AJ21</f>
        <v>9696</v>
      </c>
      <c r="AN21" s="15">
        <f t="shared" ref="AN21:AN22" si="114">(AM21/AL21-1)*100</f>
        <v>-16.500172235618326</v>
      </c>
      <c r="AO21" s="66">
        <v>60186</v>
      </c>
      <c r="AP21" s="66">
        <v>57580</v>
      </c>
      <c r="AQ21" s="15">
        <f t="shared" ref="AQ21:AQ22" si="115">(AP21/AO21-1)*100</f>
        <v>-4.3299106104409679</v>
      </c>
      <c r="AR21" s="63">
        <f>AU21-AO21</f>
        <v>4494</v>
      </c>
      <c r="AS21" s="63">
        <f>AV21-AP21</f>
        <v>14553</v>
      </c>
      <c r="AT21" s="15">
        <f t="shared" ref="AT21:AT22" si="116">(AS21/AR21-1)*100</f>
        <v>223.83177570093457</v>
      </c>
      <c r="AU21" s="66">
        <v>64680</v>
      </c>
      <c r="AV21" s="66">
        <v>72133</v>
      </c>
      <c r="AW21" s="15">
        <f t="shared" ref="AW21:AW22" si="117">(AV21/AU21-1)*100</f>
        <v>11.522881880024727</v>
      </c>
      <c r="AX21" s="63">
        <f>BA21-AU21</f>
        <v>6492</v>
      </c>
      <c r="AY21" s="63">
        <f>BB21-AV21</f>
        <v>16575</v>
      </c>
      <c r="AZ21" s="15">
        <f t="shared" ref="AZ21:AZ22" si="118">(AY21/AX21-1)*100</f>
        <v>155.31423290203327</v>
      </c>
      <c r="BA21" s="66">
        <v>71172</v>
      </c>
      <c r="BB21" s="66">
        <v>88708</v>
      </c>
      <c r="BC21" s="15">
        <f t="shared" ref="BC21:BC22" si="119">(BB21/BA21-1)*100</f>
        <v>24.638902939358175</v>
      </c>
      <c r="BD21" s="63">
        <f>BG21-BA21</f>
        <v>11881</v>
      </c>
      <c r="BE21" s="63">
        <f>BH21-BB21</f>
        <v>16061</v>
      </c>
      <c r="BF21" s="15">
        <f t="shared" ref="BF21:BF22" si="120">(BE21/BD21-1)*100</f>
        <v>35.182223718542204</v>
      </c>
      <c r="BG21" s="66">
        <v>83053</v>
      </c>
      <c r="BH21" s="66">
        <v>104769</v>
      </c>
      <c r="BI21" s="15">
        <f t="shared" ref="BI21:BI22" si="121">(BH21/BG21-1)*100</f>
        <v>26.147159043020718</v>
      </c>
      <c r="BJ21" s="63">
        <f>BM21-BG21</f>
        <v>11569</v>
      </c>
      <c r="BK21" s="63">
        <f>BN21-BH21</f>
        <v>22476</v>
      </c>
      <c r="BL21" s="15">
        <f t="shared" ref="BL21:BL22" si="122">(BK21/BJ21-1)*100</f>
        <v>94.277811392514479</v>
      </c>
      <c r="BM21" s="66">
        <v>94622</v>
      </c>
      <c r="BN21" s="66">
        <v>127245</v>
      </c>
      <c r="BO21" s="15">
        <f t="shared" ref="BO21:BO22" si="123">(BN21/BM21-1)*100</f>
        <v>34.47718289615522</v>
      </c>
      <c r="BP21" s="63">
        <f>BS21-BM21</f>
        <v>9851</v>
      </c>
      <c r="BQ21" s="63">
        <f>BT21-BN21</f>
        <v>8375</v>
      </c>
      <c r="BR21" s="15">
        <f t="shared" ref="BR21:BR22" si="124">(BQ21/BP21-1)*100</f>
        <v>-14.983250431428285</v>
      </c>
      <c r="BS21" s="66">
        <v>104473</v>
      </c>
      <c r="BT21" s="66">
        <v>135620</v>
      </c>
      <c r="BU21" s="15">
        <f t="shared" ref="BU21:BU22" si="125">(BT21/BS21-1)*100</f>
        <v>29.813444622055464</v>
      </c>
      <c r="BV21" s="63">
        <f>BY21-BS21</f>
        <v>7606</v>
      </c>
      <c r="BW21" s="63">
        <f>BZ21-BT21</f>
        <v>12189</v>
      </c>
      <c r="BX21" s="15">
        <f t="shared" ref="BX21:BX22" si="126">(BW21/BV21-1)*100</f>
        <v>60.255061793321055</v>
      </c>
      <c r="BY21" s="66">
        <v>112079</v>
      </c>
      <c r="BZ21" s="66">
        <v>147809</v>
      </c>
      <c r="CA21" s="15">
        <f t="shared" ref="CA21:CA22" si="127">(BZ21/BY21-1)*100</f>
        <v>31.8792994227286</v>
      </c>
      <c r="CB21" s="108"/>
    </row>
    <row r="22" spans="1:80" s="1" customFormat="1" ht="19.5" customHeight="1">
      <c r="A22" s="152"/>
      <c r="B22" s="120"/>
      <c r="C22" s="33" t="s">
        <v>104</v>
      </c>
      <c r="D22" s="17">
        <v>8537020</v>
      </c>
      <c r="E22" s="17">
        <v>9669571</v>
      </c>
      <c r="F22" s="17">
        <v>10836391</v>
      </c>
      <c r="G22" s="17">
        <v>4630310</v>
      </c>
      <c r="H22" s="17">
        <v>2598222</v>
      </c>
      <c r="I22" s="17">
        <v>3663724</v>
      </c>
      <c r="J22" s="17">
        <v>2925295</v>
      </c>
      <c r="K22" s="17">
        <v>255882</v>
      </c>
      <c r="L22" s="17">
        <v>119662</v>
      </c>
      <c r="M22" s="18">
        <f t="shared" si="0"/>
        <v>-53.235475727092954</v>
      </c>
      <c r="N22" s="17">
        <f>Q22-K22</f>
        <v>321284</v>
      </c>
      <c r="O22" s="17">
        <f>R22-L22</f>
        <v>267691</v>
      </c>
      <c r="P22" s="18">
        <f t="shared" si="1"/>
        <v>-16.680880467125657</v>
      </c>
      <c r="Q22" s="17">
        <v>577166</v>
      </c>
      <c r="R22" s="17">
        <v>387353</v>
      </c>
      <c r="S22" s="18">
        <f t="shared" si="2"/>
        <v>-32.887072350069133</v>
      </c>
      <c r="T22" s="17">
        <f>W22-Q22</f>
        <v>215768</v>
      </c>
      <c r="U22" s="17">
        <f>X22-R22</f>
        <v>180437</v>
      </c>
      <c r="V22" s="18">
        <f t="shared" si="108"/>
        <v>-16.37453190463831</v>
      </c>
      <c r="W22" s="17">
        <v>792934</v>
      </c>
      <c r="X22" s="17">
        <v>567790</v>
      </c>
      <c r="Y22" s="18">
        <f t="shared" si="109"/>
        <v>-28.393788133690823</v>
      </c>
      <c r="Z22" s="17">
        <f>AC22-W22</f>
        <v>494494</v>
      </c>
      <c r="AA22" s="17">
        <f>AD22-X22</f>
        <v>257597</v>
      </c>
      <c r="AB22" s="18">
        <f t="shared" si="110"/>
        <v>-47.906951348246892</v>
      </c>
      <c r="AC22" s="17">
        <v>1287428</v>
      </c>
      <c r="AD22" s="17">
        <v>825387</v>
      </c>
      <c r="AE22" s="18">
        <f t="shared" si="111"/>
        <v>-35.888686590628758</v>
      </c>
      <c r="AF22" s="17">
        <f>AI22-AC22</f>
        <v>134537</v>
      </c>
      <c r="AG22" s="17">
        <f>AJ22-AD22</f>
        <v>255383</v>
      </c>
      <c r="AH22" s="18">
        <f t="shared" si="112"/>
        <v>89.823617294870559</v>
      </c>
      <c r="AI22" s="17">
        <v>1421965</v>
      </c>
      <c r="AJ22" s="17">
        <v>1080770</v>
      </c>
      <c r="AK22" s="18">
        <f t="shared" si="113"/>
        <v>-23.994613088226501</v>
      </c>
      <c r="AL22" s="17">
        <f>AO22-AI22</f>
        <v>303861</v>
      </c>
      <c r="AM22" s="17">
        <f>AP22-AJ22</f>
        <v>224225</v>
      </c>
      <c r="AN22" s="18">
        <f t="shared" si="114"/>
        <v>-26.208035911156745</v>
      </c>
      <c r="AO22" s="17">
        <v>1725826</v>
      </c>
      <c r="AP22" s="17">
        <v>1304995</v>
      </c>
      <c r="AQ22" s="18">
        <f t="shared" si="115"/>
        <v>-24.384323796257558</v>
      </c>
      <c r="AR22" s="17">
        <f>AU22-AO22</f>
        <v>114945</v>
      </c>
      <c r="AS22" s="17">
        <f>AV22-AP22</f>
        <v>341209</v>
      </c>
      <c r="AT22" s="18">
        <f t="shared" si="116"/>
        <v>196.84544782287179</v>
      </c>
      <c r="AU22" s="17">
        <v>1840771</v>
      </c>
      <c r="AV22" s="17">
        <v>1646204</v>
      </c>
      <c r="AW22" s="18">
        <f t="shared" si="117"/>
        <v>-10.569864475266066</v>
      </c>
      <c r="AX22" s="17">
        <f>BA22-AU22</f>
        <v>149920</v>
      </c>
      <c r="AY22" s="17">
        <f>BB22-AV22</f>
        <v>384106</v>
      </c>
      <c r="AZ22" s="18">
        <f t="shared" si="118"/>
        <v>156.20731056563503</v>
      </c>
      <c r="BA22" s="17">
        <v>1990691</v>
      </c>
      <c r="BB22" s="17">
        <v>2030310</v>
      </c>
      <c r="BC22" s="18">
        <f t="shared" si="119"/>
        <v>1.9902134484960143</v>
      </c>
      <c r="BD22" s="17">
        <f>BG22-BA22</f>
        <v>273118</v>
      </c>
      <c r="BE22" s="17">
        <f>BH22-BB22</f>
        <v>375317</v>
      </c>
      <c r="BF22" s="18">
        <f t="shared" si="120"/>
        <v>37.419357200916828</v>
      </c>
      <c r="BG22" s="17">
        <v>2263809</v>
      </c>
      <c r="BH22" s="17">
        <v>2405627</v>
      </c>
      <c r="BI22" s="18">
        <f t="shared" si="121"/>
        <v>6.264574440688242</v>
      </c>
      <c r="BJ22" s="17">
        <f>BM22-BG22</f>
        <v>254312</v>
      </c>
      <c r="BK22" s="17">
        <f>BN22-BH22</f>
        <v>516787</v>
      </c>
      <c r="BL22" s="18">
        <f t="shared" si="122"/>
        <v>103.20983673597786</v>
      </c>
      <c r="BM22" s="17">
        <v>2518121</v>
      </c>
      <c r="BN22" s="17">
        <v>2922414</v>
      </c>
      <c r="BO22" s="18">
        <f t="shared" si="123"/>
        <v>16.055344441351306</v>
      </c>
      <c r="BP22" s="17">
        <f>BS22-BM22</f>
        <v>246041</v>
      </c>
      <c r="BQ22" s="17">
        <f>BT22-BN22</f>
        <v>189054</v>
      </c>
      <c r="BR22" s="18">
        <f t="shared" si="124"/>
        <v>-23.161586889989884</v>
      </c>
      <c r="BS22" s="17">
        <v>2764162</v>
      </c>
      <c r="BT22" s="17">
        <v>3111468</v>
      </c>
      <c r="BU22" s="18">
        <f t="shared" si="125"/>
        <v>12.564603666500007</v>
      </c>
      <c r="BV22" s="17">
        <f>BY22-BS22</f>
        <v>161133</v>
      </c>
      <c r="BW22" s="17">
        <f>BZ22-BT22</f>
        <v>278721</v>
      </c>
      <c r="BX22" s="18">
        <f t="shared" si="126"/>
        <v>72.975740537320092</v>
      </c>
      <c r="BY22" s="17">
        <v>2925295</v>
      </c>
      <c r="BZ22" s="17">
        <v>3390189</v>
      </c>
      <c r="CA22" s="18">
        <f t="shared" si="127"/>
        <v>15.892209161811021</v>
      </c>
      <c r="CB22" s="108"/>
    </row>
    <row r="23" spans="1:80" s="1" customFormat="1" ht="19.5" customHeight="1">
      <c r="A23" s="153"/>
      <c r="B23" s="121"/>
      <c r="C23" s="93" t="s">
        <v>105</v>
      </c>
      <c r="D23" s="64">
        <f t="shared" ref="D23:L23" si="128">D22/D21</f>
        <v>17.061414553230609</v>
      </c>
      <c r="E23" s="64">
        <f t="shared" si="128"/>
        <v>20.799025607382152</v>
      </c>
      <c r="F23" s="64">
        <f t="shared" si="128"/>
        <v>26.355270134203703</v>
      </c>
      <c r="G23" s="64">
        <f t="shared" si="128"/>
        <v>29.13555621275712</v>
      </c>
      <c r="H23" s="64">
        <f>H22/H21</f>
        <v>28.811190827336134</v>
      </c>
      <c r="I23" s="64">
        <f>I22/I21</f>
        <v>31.780813837492737</v>
      </c>
      <c r="J23" s="64">
        <f>J22/J21</f>
        <v>26.100295327402993</v>
      </c>
      <c r="K23" s="64">
        <f t="shared" si="128"/>
        <v>32.271660991297765</v>
      </c>
      <c r="L23" s="64">
        <f t="shared" si="128"/>
        <v>27.103510758776896</v>
      </c>
      <c r="M23" s="65"/>
      <c r="N23" s="64">
        <f>N22/N21</f>
        <v>31.080971268259649</v>
      </c>
      <c r="O23" s="64">
        <f>O22/O21</f>
        <v>21.275711333651248</v>
      </c>
      <c r="P23" s="65"/>
      <c r="Q23" s="64">
        <f>Q22/Q21</f>
        <v>31.597832037665608</v>
      </c>
      <c r="R23" s="64">
        <f>R22/R21</f>
        <v>22.789492263340591</v>
      </c>
      <c r="S23" s="65"/>
      <c r="T23" s="64">
        <f>T22/T21</f>
        <v>33.761226725082146</v>
      </c>
      <c r="U23" s="64">
        <f>U22/U21</f>
        <v>22.422890518205541</v>
      </c>
      <c r="V23" s="65"/>
      <c r="W23" s="64">
        <f>W22/W21</f>
        <v>32.158575658028148</v>
      </c>
      <c r="X23" s="64">
        <f>X22/X21</f>
        <v>22.671697811851143</v>
      </c>
      <c r="Y23" s="65"/>
      <c r="Z23" s="64">
        <f>Z22/Z21</f>
        <v>27.138686131386862</v>
      </c>
      <c r="AA23" s="64">
        <f>AA22/AA21</f>
        <v>22.452453586681774</v>
      </c>
      <c r="AB23" s="65"/>
      <c r="AC23" s="64">
        <f>AC22/AC21</f>
        <v>30.025374317831989</v>
      </c>
      <c r="AD23" s="64">
        <f>AD22/AD21</f>
        <v>22.60281512720103</v>
      </c>
      <c r="AE23" s="65"/>
      <c r="AF23" s="64">
        <f>AF22/AF21</f>
        <v>23.619557584269664</v>
      </c>
      <c r="AG23" s="64">
        <f>AG22/AG21</f>
        <v>22.467053752089381</v>
      </c>
      <c r="AH23" s="65"/>
      <c r="AI23" s="64">
        <f>AI22/AI21</f>
        <v>29.274200189401739</v>
      </c>
      <c r="AJ23" s="64">
        <f>AJ22/AJ21</f>
        <v>22.570587252526941</v>
      </c>
      <c r="AK23" s="65"/>
      <c r="AL23" s="64">
        <f>AL22/AL21</f>
        <v>26.167843610058561</v>
      </c>
      <c r="AM23" s="64">
        <f>AM22/AM21</f>
        <v>23.125515676567655</v>
      </c>
      <c r="AN23" s="65"/>
      <c r="AO23" s="64">
        <f>AO22/AO21</f>
        <v>28.674874555544477</v>
      </c>
      <c r="AP23" s="64">
        <f>AP22/AP21</f>
        <v>22.664032650225774</v>
      </c>
      <c r="AQ23" s="65"/>
      <c r="AR23" s="64">
        <f>AR22/AR21</f>
        <v>25.577436582109478</v>
      </c>
      <c r="AS23" s="64">
        <f>AS22/AS21</f>
        <v>23.445956160241874</v>
      </c>
      <c r="AT23" s="65"/>
      <c r="AU23" s="64">
        <f>AU22/AU21</f>
        <v>28.459662956091528</v>
      </c>
      <c r="AV23" s="64">
        <f>AV22/AV21</f>
        <v>22.821787531365672</v>
      </c>
      <c r="AW23" s="65"/>
      <c r="AX23" s="64">
        <f>AX22/AX21</f>
        <v>23.093037584719657</v>
      </c>
      <c r="AY23" s="64">
        <f>AY22/AY21</f>
        <v>23.173815987933637</v>
      </c>
      <c r="AZ23" s="65"/>
      <c r="BA23" s="64">
        <f>BA22/BA21</f>
        <v>27.970142752767941</v>
      </c>
      <c r="BB23" s="64">
        <f>BB22/BB21</f>
        <v>22.887563692113449</v>
      </c>
      <c r="BC23" s="65"/>
      <c r="BD23" s="64">
        <f>BD22/BD21</f>
        <v>22.987795640097634</v>
      </c>
      <c r="BE23" s="64">
        <f>BE22/BE21</f>
        <v>23.368221156839549</v>
      </c>
      <c r="BF23" s="65"/>
      <c r="BG23" s="64">
        <f>BG22/BG21</f>
        <v>27.257401899991571</v>
      </c>
      <c r="BH23" s="64">
        <f>BH22/BH21</f>
        <v>22.961248079107371</v>
      </c>
      <c r="BI23" s="65"/>
      <c r="BJ23" s="64">
        <f>BJ22/BJ21</f>
        <v>21.982193793759183</v>
      </c>
      <c r="BK23" s="64">
        <f>BK22/BK21</f>
        <v>22.992836803701728</v>
      </c>
      <c r="BL23" s="65"/>
      <c r="BM23" s="64">
        <f>BM22/BM21</f>
        <v>26.612426285641817</v>
      </c>
      <c r="BN23" s="64">
        <f>BN22/BN21</f>
        <v>22.966827773193447</v>
      </c>
      <c r="BO23" s="65"/>
      <c r="BP23" s="64">
        <f>BP22/BP21</f>
        <v>24.976246066389198</v>
      </c>
      <c r="BQ23" s="64">
        <f>BQ22/BQ21</f>
        <v>22.573611940298509</v>
      </c>
      <c r="BR23" s="65"/>
      <c r="BS23" s="64">
        <f>BS22/BS21</f>
        <v>26.458147081064006</v>
      </c>
      <c r="BT23" s="64">
        <f>BT22/BT21</f>
        <v>22.942545347293908</v>
      </c>
      <c r="BU23" s="65"/>
      <c r="BV23" s="64">
        <f>BV22/BV21</f>
        <v>21.184985537733368</v>
      </c>
      <c r="BW23" s="64">
        <f>BW22/BW21</f>
        <v>22.866601033718926</v>
      </c>
      <c r="BX23" s="65"/>
      <c r="BY23" s="64">
        <f>BY22/BY21</f>
        <v>26.100295327402993</v>
      </c>
      <c r="BZ23" s="64">
        <f>BZ22/BZ21</f>
        <v>22.936282635022224</v>
      </c>
      <c r="CA23" s="65"/>
      <c r="CB23" s="108"/>
    </row>
    <row r="24" spans="1:80" s="1" customFormat="1" ht="19.5" customHeight="1">
      <c r="A24" s="164" t="s">
        <v>165</v>
      </c>
      <c r="B24" s="114">
        <v>8107</v>
      </c>
      <c r="C24" s="32" t="s">
        <v>42</v>
      </c>
      <c r="D24" s="66">
        <v>639275</v>
      </c>
      <c r="E24" s="66">
        <v>712273</v>
      </c>
      <c r="F24" s="66">
        <v>228394</v>
      </c>
      <c r="G24" s="66">
        <v>398</v>
      </c>
      <c r="H24" s="66">
        <v>293</v>
      </c>
      <c r="I24" s="66">
        <v>1247472</v>
      </c>
      <c r="J24" s="66">
        <v>2649265</v>
      </c>
      <c r="K24" s="66">
        <v>201241</v>
      </c>
      <c r="L24" s="66">
        <v>227622</v>
      </c>
      <c r="M24" s="15">
        <f t="shared" si="0"/>
        <v>13.109157676616601</v>
      </c>
      <c r="N24" s="63">
        <f>Q24-K24</f>
        <v>541327</v>
      </c>
      <c r="O24" s="63">
        <f>R24-L24</f>
        <v>75020</v>
      </c>
      <c r="P24" s="15">
        <f t="shared" si="1"/>
        <v>-86.141463477713103</v>
      </c>
      <c r="Q24" s="66">
        <v>742568</v>
      </c>
      <c r="R24" s="66">
        <v>302642</v>
      </c>
      <c r="S24" s="15">
        <f t="shared" si="2"/>
        <v>-59.243867228321179</v>
      </c>
      <c r="T24" s="63">
        <f>W24-Q24</f>
        <v>86137</v>
      </c>
      <c r="U24" s="63">
        <f>X24-R24</f>
        <v>331067</v>
      </c>
      <c r="V24" s="15">
        <f t="shared" ref="V24:V25" si="129">(U24/T24-1)*100</f>
        <v>284.3493504533476</v>
      </c>
      <c r="W24" s="66">
        <v>828705</v>
      </c>
      <c r="X24" s="66">
        <v>633709</v>
      </c>
      <c r="Y24" s="15">
        <f t="shared" ref="Y24:Y25" si="130">(X24/W24-1)*100</f>
        <v>-23.530206768391647</v>
      </c>
      <c r="Z24" s="63">
        <f>AC24-W24</f>
        <v>81217</v>
      </c>
      <c r="AA24" s="63">
        <f>AD24-X24</f>
        <v>151117</v>
      </c>
      <c r="AB24" s="15">
        <f t="shared" ref="AB24:AB25" si="131">(AA24/Z24-1)*100</f>
        <v>86.065725156063394</v>
      </c>
      <c r="AC24" s="66">
        <v>909922</v>
      </c>
      <c r="AD24" s="66">
        <v>784826</v>
      </c>
      <c r="AE24" s="15">
        <f t="shared" ref="AE24:AE25" si="132">(AD24/AC24-1)*100</f>
        <v>-13.74799158609199</v>
      </c>
      <c r="AF24" s="63">
        <f>AI24-AC24</f>
        <v>124486</v>
      </c>
      <c r="AG24" s="63">
        <f>AJ24-AD24</f>
        <v>75442</v>
      </c>
      <c r="AH24" s="15">
        <f t="shared" ref="AH24:AH25" si="133">(AG24/AF24-1)*100</f>
        <v>-39.397201291711511</v>
      </c>
      <c r="AI24" s="66">
        <v>1034408</v>
      </c>
      <c r="AJ24" s="66">
        <v>860268</v>
      </c>
      <c r="AK24" s="15">
        <f t="shared" ref="AK24:AK25" si="134">(AJ24/AI24-1)*100</f>
        <v>-16.834749924594551</v>
      </c>
      <c r="AL24" s="63">
        <f>AO24-AI24</f>
        <v>524987</v>
      </c>
      <c r="AM24" s="63">
        <f>AP24-AJ24</f>
        <v>129196</v>
      </c>
      <c r="AN24" s="15">
        <f t="shared" ref="AN24:AN25" si="135">(AM24/AL24-1)*100</f>
        <v>-75.390628720330227</v>
      </c>
      <c r="AO24" s="66">
        <v>1559395</v>
      </c>
      <c r="AP24" s="66">
        <v>989464</v>
      </c>
      <c r="AQ24" s="15">
        <f t="shared" ref="AQ24:AQ25" si="136">(AP24/AO24-1)*100</f>
        <v>-36.548212608094808</v>
      </c>
      <c r="AR24" s="63">
        <f>AU24-AO24</f>
        <v>0</v>
      </c>
      <c r="AS24" s="63">
        <f>AV24-AP24</f>
        <v>181423</v>
      </c>
      <c r="AT24" s="15" t="e">
        <f t="shared" ref="AT24:AT25" si="137">(AS24/AR24-1)*100</f>
        <v>#DIV/0!</v>
      </c>
      <c r="AU24" s="66">
        <v>1559395</v>
      </c>
      <c r="AV24" s="66">
        <v>1170887</v>
      </c>
      <c r="AW24" s="15">
        <f t="shared" ref="AW24:AW25" si="138">(AV24/AU24-1)*100</f>
        <v>-24.914021142815002</v>
      </c>
      <c r="AX24" s="63">
        <f>BA24-AU24</f>
        <v>476340</v>
      </c>
      <c r="AY24" s="63">
        <f>BB24-AV24</f>
        <v>207759</v>
      </c>
      <c r="AZ24" s="15">
        <f t="shared" ref="AZ24:AZ25" si="139">(AY24/AX24-1)*100</f>
        <v>-56.38430532812697</v>
      </c>
      <c r="BA24" s="66">
        <v>2035735</v>
      </c>
      <c r="BB24" s="66">
        <v>1378646</v>
      </c>
      <c r="BC24" s="15">
        <f t="shared" ref="BC24:BC25" si="140">(BB24/BA24-1)*100</f>
        <v>-32.277727700314628</v>
      </c>
      <c r="BD24" s="63">
        <f>BG24-BA24</f>
        <v>114914</v>
      </c>
      <c r="BE24" s="63">
        <f>BH24-BB24</f>
        <v>139426</v>
      </c>
      <c r="BF24" s="15">
        <f t="shared" ref="BF24:BF25" si="141">(BE24/BD24-1)*100</f>
        <v>21.330734288250341</v>
      </c>
      <c r="BG24" s="66">
        <v>2150649</v>
      </c>
      <c r="BH24" s="66">
        <v>1518072</v>
      </c>
      <c r="BI24" s="15">
        <f t="shared" ref="BI24:BI25" si="142">(BH24/BG24-1)*100</f>
        <v>-29.413307331879825</v>
      </c>
      <c r="BJ24" s="63">
        <f>BM24-BG24</f>
        <v>140823</v>
      </c>
      <c r="BK24" s="63">
        <f>BN24-BH24</f>
        <v>105215</v>
      </c>
      <c r="BL24" s="15">
        <f t="shared" ref="BL24:BL25" si="143">(BK24/BJ24-1)*100</f>
        <v>-25.285642260142161</v>
      </c>
      <c r="BM24" s="66">
        <v>2291472</v>
      </c>
      <c r="BN24" s="66">
        <v>1623287</v>
      </c>
      <c r="BO24" s="15">
        <f t="shared" ref="BO24:BO25" si="144">(BN24/BM24-1)*100</f>
        <v>-29.159640615290083</v>
      </c>
      <c r="BP24" s="63">
        <f>BS24-BM24</f>
        <v>59546</v>
      </c>
      <c r="BQ24" s="63">
        <f>BT24-BN24</f>
        <v>133318</v>
      </c>
      <c r="BR24" s="15">
        <f t="shared" ref="BR24:BR25" si="145">(BQ24/BP24-1)*100</f>
        <v>123.89077351963186</v>
      </c>
      <c r="BS24" s="66">
        <v>2351018</v>
      </c>
      <c r="BT24" s="66">
        <v>1756605</v>
      </c>
      <c r="BU24" s="15">
        <f t="shared" ref="BU24:BU25" si="146">(BT24/BS24-1)*100</f>
        <v>-25.28321773801817</v>
      </c>
      <c r="BV24" s="63">
        <f>BY24-BS24</f>
        <v>298247</v>
      </c>
      <c r="BW24" s="63">
        <f>BZ24-BT24</f>
        <v>147046</v>
      </c>
      <c r="BX24" s="15">
        <f t="shared" ref="BX24:BX25" si="147">(BW24/BV24-1)*100</f>
        <v>-50.696570292408637</v>
      </c>
      <c r="BY24" s="66">
        <v>2649265</v>
      </c>
      <c r="BZ24" s="66">
        <v>1903651</v>
      </c>
      <c r="CA24" s="15">
        <f t="shared" ref="CA24:CA25" si="148">(BZ24/BY24-1)*100</f>
        <v>-28.144183386712918</v>
      </c>
      <c r="CB24" s="108"/>
    </row>
    <row r="25" spans="1:80" s="1" customFormat="1" ht="19.5" customHeight="1">
      <c r="A25" s="152"/>
      <c r="B25" s="120"/>
      <c r="C25" s="33" t="s">
        <v>104</v>
      </c>
      <c r="D25" s="17">
        <v>699653</v>
      </c>
      <c r="E25" s="17">
        <v>1202666</v>
      </c>
      <c r="F25" s="17">
        <v>331798</v>
      </c>
      <c r="G25" s="17">
        <v>45044</v>
      </c>
      <c r="H25" s="17">
        <v>52469</v>
      </c>
      <c r="I25" s="17">
        <v>1495786</v>
      </c>
      <c r="J25" s="17">
        <v>2209056</v>
      </c>
      <c r="K25" s="17">
        <v>223124</v>
      </c>
      <c r="L25" s="17">
        <v>151872</v>
      </c>
      <c r="M25" s="18">
        <f t="shared" si="0"/>
        <v>-31.933812588515799</v>
      </c>
      <c r="N25" s="17">
        <f>Q25-K25</f>
        <v>418423</v>
      </c>
      <c r="O25" s="17">
        <f>R25-L25</f>
        <v>50845</v>
      </c>
      <c r="P25" s="18">
        <f t="shared" si="1"/>
        <v>-87.848421334391276</v>
      </c>
      <c r="Q25" s="17">
        <v>641547</v>
      </c>
      <c r="R25" s="17">
        <v>202717</v>
      </c>
      <c r="S25" s="18">
        <f t="shared" si="2"/>
        <v>-68.401847409464935</v>
      </c>
      <c r="T25" s="17">
        <f>W25-Q25</f>
        <v>60959</v>
      </c>
      <c r="U25" s="17">
        <f>X25-R25</f>
        <v>203332</v>
      </c>
      <c r="V25" s="18">
        <f t="shared" si="129"/>
        <v>233.55534047474532</v>
      </c>
      <c r="W25" s="17">
        <v>702506</v>
      </c>
      <c r="X25" s="17">
        <v>406049</v>
      </c>
      <c r="Y25" s="18">
        <f t="shared" si="130"/>
        <v>-42.199924271109424</v>
      </c>
      <c r="Z25" s="17">
        <f>AC25-W25</f>
        <v>128492</v>
      </c>
      <c r="AA25" s="17">
        <f>AD25-X25</f>
        <v>87181</v>
      </c>
      <c r="AB25" s="18">
        <f t="shared" si="131"/>
        <v>-32.150639728543403</v>
      </c>
      <c r="AC25" s="17">
        <v>830998</v>
      </c>
      <c r="AD25" s="17">
        <v>493230</v>
      </c>
      <c r="AE25" s="18">
        <f t="shared" si="132"/>
        <v>-40.646066536862904</v>
      </c>
      <c r="AF25" s="17">
        <f>AI25-AC25</f>
        <v>103812</v>
      </c>
      <c r="AG25" s="17">
        <f>AJ25-AD25</f>
        <v>79491</v>
      </c>
      <c r="AH25" s="18">
        <f t="shared" si="133"/>
        <v>-23.427927407236162</v>
      </c>
      <c r="AI25" s="17">
        <v>934810</v>
      </c>
      <c r="AJ25" s="17">
        <v>572721</v>
      </c>
      <c r="AK25" s="18">
        <f t="shared" si="134"/>
        <v>-38.733967330259624</v>
      </c>
      <c r="AL25" s="17">
        <f>AO25-AI25</f>
        <v>507614</v>
      </c>
      <c r="AM25" s="17">
        <f>AP25-AJ25</f>
        <v>82679</v>
      </c>
      <c r="AN25" s="18">
        <f t="shared" si="135"/>
        <v>-83.712230159136666</v>
      </c>
      <c r="AO25" s="17">
        <v>1442424</v>
      </c>
      <c r="AP25" s="17">
        <v>655400</v>
      </c>
      <c r="AQ25" s="18">
        <f t="shared" si="136"/>
        <v>-54.562597405478556</v>
      </c>
      <c r="AR25" s="17">
        <f>AU25-AO25</f>
        <v>0</v>
      </c>
      <c r="AS25" s="17">
        <f>AV25-AP25</f>
        <v>72072</v>
      </c>
      <c r="AT25" s="18" t="e">
        <f t="shared" si="137"/>
        <v>#DIV/0!</v>
      </c>
      <c r="AU25" s="17">
        <v>1442424</v>
      </c>
      <c r="AV25" s="17">
        <v>727472</v>
      </c>
      <c r="AW25" s="18">
        <f t="shared" si="138"/>
        <v>-49.56600833042156</v>
      </c>
      <c r="AX25" s="17">
        <f>BA25-AU25</f>
        <v>365254</v>
      </c>
      <c r="AY25" s="17">
        <f>BB25-AV25</f>
        <v>89031</v>
      </c>
      <c r="AZ25" s="18">
        <f t="shared" si="139"/>
        <v>-75.624907598547864</v>
      </c>
      <c r="BA25" s="17">
        <v>1807678</v>
      </c>
      <c r="BB25" s="17">
        <v>816503</v>
      </c>
      <c r="BC25" s="18">
        <f t="shared" si="140"/>
        <v>-54.831391431438561</v>
      </c>
      <c r="BD25" s="17">
        <f>BG25-BA25</f>
        <v>77747</v>
      </c>
      <c r="BE25" s="17">
        <f>BH25-BB25</f>
        <v>55989</v>
      </c>
      <c r="BF25" s="18">
        <f t="shared" si="141"/>
        <v>-27.985645748389011</v>
      </c>
      <c r="BG25" s="17">
        <v>1885425</v>
      </c>
      <c r="BH25" s="17">
        <v>872492</v>
      </c>
      <c r="BI25" s="18">
        <f t="shared" si="142"/>
        <v>-53.724385748571279</v>
      </c>
      <c r="BJ25" s="17">
        <f>BM25-BG25</f>
        <v>89769</v>
      </c>
      <c r="BK25" s="17">
        <f>BN25-BH25</f>
        <v>42356</v>
      </c>
      <c r="BL25" s="18">
        <f t="shared" si="143"/>
        <v>-52.816673907473621</v>
      </c>
      <c r="BM25" s="17">
        <v>1975194</v>
      </c>
      <c r="BN25" s="17">
        <v>914848</v>
      </c>
      <c r="BO25" s="18">
        <f t="shared" si="144"/>
        <v>-53.683131884766766</v>
      </c>
      <c r="BP25" s="17">
        <f>BS25-BM25</f>
        <v>33373</v>
      </c>
      <c r="BQ25" s="17">
        <f>BT25-BN25</f>
        <v>21904</v>
      </c>
      <c r="BR25" s="18">
        <f t="shared" si="145"/>
        <v>-34.366104335840355</v>
      </c>
      <c r="BS25" s="17">
        <v>2008567</v>
      </c>
      <c r="BT25" s="17">
        <v>936752</v>
      </c>
      <c r="BU25" s="18">
        <f t="shared" si="146"/>
        <v>-53.362173131391685</v>
      </c>
      <c r="BV25" s="17">
        <f>BY25-BS25</f>
        <v>200489</v>
      </c>
      <c r="BW25" s="17">
        <f>BZ25-BT25</f>
        <v>66920</v>
      </c>
      <c r="BX25" s="18">
        <f t="shared" si="147"/>
        <v>-66.62161016315109</v>
      </c>
      <c r="BY25" s="17">
        <v>2209056</v>
      </c>
      <c r="BZ25" s="17">
        <v>1003672</v>
      </c>
      <c r="CA25" s="18">
        <f t="shared" si="148"/>
        <v>-54.565570089667261</v>
      </c>
      <c r="CB25" s="108"/>
    </row>
    <row r="26" spans="1:80" s="1" customFormat="1" ht="19.5" customHeight="1">
      <c r="A26" s="153"/>
      <c r="B26" s="121"/>
      <c r="C26" s="93" t="s">
        <v>105</v>
      </c>
      <c r="D26" s="64">
        <f t="shared" ref="D26:L26" si="149">D25/D24</f>
        <v>1.094447616440499</v>
      </c>
      <c r="E26" s="64">
        <f t="shared" si="149"/>
        <v>1.6884902277637928</v>
      </c>
      <c r="F26" s="64">
        <f t="shared" si="149"/>
        <v>1.4527439424853543</v>
      </c>
      <c r="G26" s="64">
        <f t="shared" si="149"/>
        <v>113.17587939698493</v>
      </c>
      <c r="H26" s="64">
        <f>H25/H24</f>
        <v>179.07508532423208</v>
      </c>
      <c r="I26" s="64">
        <f>I25/I24</f>
        <v>1.19905376633704</v>
      </c>
      <c r="J26" s="64">
        <f>J25/J24</f>
        <v>0.83383730959341551</v>
      </c>
      <c r="K26" s="64">
        <f t="shared" si="149"/>
        <v>1.1087402666454649</v>
      </c>
      <c r="L26" s="64">
        <f t="shared" si="149"/>
        <v>0.66721142947518253</v>
      </c>
      <c r="M26" s="65"/>
      <c r="N26" s="64">
        <f>N25/N24</f>
        <v>0.77295793485268605</v>
      </c>
      <c r="O26" s="64">
        <f>O25/O24</f>
        <v>0.6777525993068515</v>
      </c>
      <c r="P26" s="65"/>
      <c r="Q26" s="64">
        <f>Q25/Q24</f>
        <v>0.86395724027967813</v>
      </c>
      <c r="R26" s="64">
        <f>R25/R24</f>
        <v>0.66982441300282181</v>
      </c>
      <c r="S26" s="65"/>
      <c r="T26" s="64">
        <f>T25/T24</f>
        <v>0.70769820170193998</v>
      </c>
      <c r="U26" s="64">
        <f>U25/U24</f>
        <v>0.61417175375377187</v>
      </c>
      <c r="V26" s="65"/>
      <c r="W26" s="64">
        <f>W25/W24</f>
        <v>0.84771541139488715</v>
      </c>
      <c r="X26" s="64">
        <f>X25/X24</f>
        <v>0.64074993411802583</v>
      </c>
      <c r="Y26" s="65"/>
      <c r="Z26" s="64">
        <f>Z25/Z24</f>
        <v>1.5820825689203</v>
      </c>
      <c r="AA26" s="64">
        <f>AA25/AA24</f>
        <v>0.57691060568963126</v>
      </c>
      <c r="AB26" s="65"/>
      <c r="AC26" s="64">
        <f>AC25/AC24</f>
        <v>0.91326289506133496</v>
      </c>
      <c r="AD26" s="64">
        <f>AD25/AD24</f>
        <v>0.62845777280569193</v>
      </c>
      <c r="AE26" s="65"/>
      <c r="AF26" s="64">
        <f>AF25/AF24</f>
        <v>0.8339251000112462</v>
      </c>
      <c r="AG26" s="64">
        <f>AG25/AG24</f>
        <v>1.0536703692903158</v>
      </c>
      <c r="AH26" s="65"/>
      <c r="AI26" s="64">
        <f>AI25/AI24</f>
        <v>0.90371497513553645</v>
      </c>
      <c r="AJ26" s="64">
        <f>AJ25/AJ24</f>
        <v>0.66574718576071645</v>
      </c>
      <c r="AK26" s="65"/>
      <c r="AL26" s="64">
        <f>AL25/AL24</f>
        <v>0.96690775200147816</v>
      </c>
      <c r="AM26" s="64">
        <f>AM25/AM24</f>
        <v>0.63995015325551874</v>
      </c>
      <c r="AN26" s="65"/>
      <c r="AO26" s="64">
        <f>AO25/AO24</f>
        <v>0.92498949913267647</v>
      </c>
      <c r="AP26" s="64">
        <f>AP25/AP24</f>
        <v>0.66237882328210018</v>
      </c>
      <c r="AQ26" s="65"/>
      <c r="AR26" s="64" t="e">
        <f>AR25/AR24</f>
        <v>#DIV/0!</v>
      </c>
      <c r="AS26" s="64">
        <f>AS25/AS24</f>
        <v>0.39725944340023039</v>
      </c>
      <c r="AT26" s="65"/>
      <c r="AU26" s="64">
        <f>AU25/AU24</f>
        <v>0.92498949913267647</v>
      </c>
      <c r="AV26" s="64">
        <f>AV25/AV24</f>
        <v>0.62129992048763028</v>
      </c>
      <c r="AW26" s="65"/>
      <c r="AX26" s="64">
        <f>AX25/AX24</f>
        <v>0.76679262711508589</v>
      </c>
      <c r="AY26" s="64">
        <f>AY25/AY24</f>
        <v>0.42853017197810928</v>
      </c>
      <c r="AZ26" s="65"/>
      <c r="BA26" s="64">
        <f>BA25/BA24</f>
        <v>0.88797313992243587</v>
      </c>
      <c r="BB26" s="64">
        <f>BB25/BB24</f>
        <v>0.59224993217983446</v>
      </c>
      <c r="BC26" s="65"/>
      <c r="BD26" s="64">
        <f>BD25/BD24</f>
        <v>0.67656682388568845</v>
      </c>
      <c r="BE26" s="64">
        <f>BE25/BE24</f>
        <v>0.40156785678424395</v>
      </c>
      <c r="BF26" s="65"/>
      <c r="BG26" s="64">
        <f>BG25/BG24</f>
        <v>0.87667722626983757</v>
      </c>
      <c r="BH26" s="64">
        <f>BH25/BH24</f>
        <v>0.57473690312448944</v>
      </c>
      <c r="BI26" s="65"/>
      <c r="BJ26" s="64">
        <f>BJ25/BJ24</f>
        <v>0.63745978994908503</v>
      </c>
      <c r="BK26" s="64">
        <f>BK25/BK24</f>
        <v>0.40256617402461625</v>
      </c>
      <c r="BL26" s="65"/>
      <c r="BM26" s="64">
        <f>BM25/BM24</f>
        <v>0.86197605731163196</v>
      </c>
      <c r="BN26" s="64">
        <f>BN25/BN24</f>
        <v>0.56357748198562552</v>
      </c>
      <c r="BO26" s="65"/>
      <c r="BP26" s="64">
        <f>BP25/BP24</f>
        <v>0.56045746145836828</v>
      </c>
      <c r="BQ26" s="64">
        <f>BQ25/BQ24</f>
        <v>0.16429889437285289</v>
      </c>
      <c r="BR26" s="65"/>
      <c r="BS26" s="64">
        <f>BS25/BS24</f>
        <v>0.85433926920168202</v>
      </c>
      <c r="BT26" s="64">
        <f>BT25/BT24</f>
        <v>0.53327412821892228</v>
      </c>
      <c r="BU26" s="65"/>
      <c r="BV26" s="64">
        <f>BV25/BV24</f>
        <v>0.67222469966168985</v>
      </c>
      <c r="BW26" s="64">
        <f>BW25/BW24</f>
        <v>0.45509568434367476</v>
      </c>
      <c r="BX26" s="65"/>
      <c r="BY26" s="64">
        <f>BY25/BY24</f>
        <v>0.83383730959341551</v>
      </c>
      <c r="BZ26" s="64">
        <f>BZ25/BZ24</f>
        <v>0.52723529680597969</v>
      </c>
      <c r="CA26" s="65"/>
      <c r="CB26" s="108"/>
    </row>
    <row r="27" spans="1:80" s="1" customFormat="1" ht="19.5" customHeight="1">
      <c r="A27" s="164" t="s">
        <v>166</v>
      </c>
      <c r="B27" s="114">
        <v>8108</v>
      </c>
      <c r="C27" s="32" t="s">
        <v>42</v>
      </c>
      <c r="D27" s="66">
        <v>7438744</v>
      </c>
      <c r="E27" s="66">
        <v>9433714</v>
      </c>
      <c r="F27" s="66">
        <v>21367958</v>
      </c>
      <c r="G27" s="66">
        <v>21136622</v>
      </c>
      <c r="H27" s="66">
        <v>16711532</v>
      </c>
      <c r="I27" s="66">
        <v>11534903</v>
      </c>
      <c r="J27" s="66">
        <v>9217137</v>
      </c>
      <c r="K27" s="66">
        <v>585909</v>
      </c>
      <c r="L27" s="66">
        <v>959517</v>
      </c>
      <c r="M27" s="15">
        <f t="shared" si="0"/>
        <v>63.765533555552146</v>
      </c>
      <c r="N27" s="63">
        <f>Q27-K27</f>
        <v>845571</v>
      </c>
      <c r="O27" s="63">
        <f>R27-L27</f>
        <v>789493</v>
      </c>
      <c r="P27" s="15">
        <f t="shared" si="1"/>
        <v>-6.6319682202913732</v>
      </c>
      <c r="Q27" s="66">
        <v>1431480</v>
      </c>
      <c r="R27" s="66">
        <v>1749010</v>
      </c>
      <c r="S27" s="15">
        <f t="shared" si="2"/>
        <v>22.181937575097098</v>
      </c>
      <c r="T27" s="63">
        <f>W27-Q27</f>
        <v>784955</v>
      </c>
      <c r="U27" s="63">
        <f>X27-R27</f>
        <v>1189415</v>
      </c>
      <c r="V27" s="15">
        <f t="shared" ref="V27:V28" si="150">(U27/T27-1)*100</f>
        <v>51.526520628571063</v>
      </c>
      <c r="W27" s="66">
        <v>2216435</v>
      </c>
      <c r="X27" s="66">
        <v>2938425</v>
      </c>
      <c r="Y27" s="15">
        <f t="shared" ref="Y27:Y28" si="151">(X27/W27-1)*100</f>
        <v>32.574381833890918</v>
      </c>
      <c r="Z27" s="63">
        <f>AC27-W27</f>
        <v>676826</v>
      </c>
      <c r="AA27" s="63">
        <f>AD27-X27</f>
        <v>1061678</v>
      </c>
      <c r="AB27" s="15">
        <f t="shared" ref="AB27:AB28" si="152">(AA27/Z27-1)*100</f>
        <v>56.861290789656429</v>
      </c>
      <c r="AC27" s="66">
        <v>2893261</v>
      </c>
      <c r="AD27" s="66">
        <v>4000103</v>
      </c>
      <c r="AE27" s="15">
        <f t="shared" ref="AE27:AE28" si="153">(AD27/AC27-1)*100</f>
        <v>38.255864230707147</v>
      </c>
      <c r="AF27" s="63">
        <f>AI27-AC27</f>
        <v>639962</v>
      </c>
      <c r="AG27" s="63">
        <f>AJ27-AD27</f>
        <v>879499</v>
      </c>
      <c r="AH27" s="15">
        <f t="shared" ref="AH27:AH28" si="154">(AG27/AF27-1)*100</f>
        <v>37.429878649044788</v>
      </c>
      <c r="AI27" s="66">
        <v>3533223</v>
      </c>
      <c r="AJ27" s="66">
        <v>4879602</v>
      </c>
      <c r="AK27" s="15">
        <f t="shared" ref="AK27:AK28" si="155">(AJ27/AI27-1)*100</f>
        <v>38.106255959502121</v>
      </c>
      <c r="AL27" s="63">
        <f>AO27-AI27</f>
        <v>589805</v>
      </c>
      <c r="AM27" s="63">
        <f>AP27-AJ27</f>
        <v>934891</v>
      </c>
      <c r="AN27" s="15">
        <f t="shared" ref="AN27:AN28" si="156">(AM27/AL27-1)*100</f>
        <v>58.508490094183664</v>
      </c>
      <c r="AO27" s="66">
        <v>4123028</v>
      </c>
      <c r="AP27" s="66">
        <v>5814493</v>
      </c>
      <c r="AQ27" s="15">
        <f t="shared" ref="AQ27:AQ28" si="157">(AP27/AO27-1)*100</f>
        <v>41.024824473663536</v>
      </c>
      <c r="AR27" s="63">
        <f>AU27-AO27</f>
        <v>917548</v>
      </c>
      <c r="AS27" s="63">
        <f>AV27-AP27</f>
        <v>843135</v>
      </c>
      <c r="AT27" s="15">
        <f t="shared" ref="AT27:AT28" si="158">(AS27/AR27-1)*100</f>
        <v>-8.1099844367815148</v>
      </c>
      <c r="AU27" s="66">
        <v>5040576</v>
      </c>
      <c r="AV27" s="66">
        <v>6657628</v>
      </c>
      <c r="AW27" s="15">
        <f t="shared" ref="AW27:AW28" si="159">(AV27/AU27-1)*100</f>
        <v>32.080698713797794</v>
      </c>
      <c r="AX27" s="63">
        <f>BA27-AU27</f>
        <v>856100</v>
      </c>
      <c r="AY27" s="63">
        <f>BB27-AV27</f>
        <v>1158292</v>
      </c>
      <c r="AZ27" s="15">
        <f t="shared" ref="AZ27:AZ28" si="160">(AY27/AX27-1)*100</f>
        <v>35.298680060740573</v>
      </c>
      <c r="BA27" s="66">
        <v>5896676</v>
      </c>
      <c r="BB27" s="66">
        <v>7815920</v>
      </c>
      <c r="BC27" s="15">
        <f t="shared" ref="BC27:BC28" si="161">(BB27/BA27-1)*100</f>
        <v>32.547896475912871</v>
      </c>
      <c r="BD27" s="63">
        <f>BG27-BA27</f>
        <v>706563</v>
      </c>
      <c r="BE27" s="63">
        <f>BH27-BB27</f>
        <v>1208922</v>
      </c>
      <c r="BF27" s="15">
        <f t="shared" ref="BF27:BF28" si="162">(BE27/BD27-1)*100</f>
        <v>71.098967820279285</v>
      </c>
      <c r="BG27" s="66">
        <v>6603239</v>
      </c>
      <c r="BH27" s="66">
        <v>9024842</v>
      </c>
      <c r="BI27" s="15">
        <f t="shared" ref="BI27:BI28" si="163">(BH27/BG27-1)*100</f>
        <v>36.672957013974504</v>
      </c>
      <c r="BJ27" s="63">
        <f>BM27-BG27</f>
        <v>853871</v>
      </c>
      <c r="BK27" s="63">
        <f>BN27-BH27</f>
        <v>1070703</v>
      </c>
      <c r="BL27" s="15">
        <f t="shared" ref="BL27:BL28" si="164">(BK27/BJ27-1)*100</f>
        <v>25.393999796222143</v>
      </c>
      <c r="BM27" s="66">
        <v>7457110</v>
      </c>
      <c r="BN27" s="66">
        <v>10095545</v>
      </c>
      <c r="BO27" s="15">
        <f t="shared" ref="BO27:BO28" si="165">(BN27/BM27-1)*100</f>
        <v>35.381468155894183</v>
      </c>
      <c r="BP27" s="63">
        <f>BS27-BM27</f>
        <v>809336</v>
      </c>
      <c r="BQ27" s="63">
        <f>BT27-BN27</f>
        <v>1402899</v>
      </c>
      <c r="BR27" s="15">
        <f t="shared" ref="BR27:BR28" si="166">(BQ27/BP27-1)*100</f>
        <v>73.339502999990131</v>
      </c>
      <c r="BS27" s="66">
        <v>8266446</v>
      </c>
      <c r="BT27" s="66">
        <v>11498444</v>
      </c>
      <c r="BU27" s="15">
        <f t="shared" ref="BU27:BU28" si="167">(BT27/BS27-1)*100</f>
        <v>39.097793658846868</v>
      </c>
      <c r="BV27" s="63">
        <f>BY27-BS27</f>
        <v>950691</v>
      </c>
      <c r="BW27" s="63">
        <f>BZ27-BT27</f>
        <v>1012570</v>
      </c>
      <c r="BX27" s="15">
        <f t="shared" ref="BX27:BX28" si="168">(BW27/BV27-1)*100</f>
        <v>6.508844619334786</v>
      </c>
      <c r="BY27" s="66">
        <v>9217137</v>
      </c>
      <c r="BZ27" s="66">
        <v>12511014</v>
      </c>
      <c r="CA27" s="15">
        <f t="shared" ref="CA27:CA28" si="169">(BZ27/BY27-1)*100</f>
        <v>35.736443973871722</v>
      </c>
      <c r="CB27" s="108"/>
    </row>
    <row r="28" spans="1:80" s="1" customFormat="1" ht="19.5" customHeight="1">
      <c r="A28" s="152"/>
      <c r="B28" s="120"/>
      <c r="C28" s="33" t="s">
        <v>104</v>
      </c>
      <c r="D28" s="17">
        <v>173251846</v>
      </c>
      <c r="E28" s="17">
        <v>204169006</v>
      </c>
      <c r="F28" s="17">
        <v>476539458</v>
      </c>
      <c r="G28" s="17">
        <v>459687114</v>
      </c>
      <c r="H28" s="17">
        <v>396496053</v>
      </c>
      <c r="I28" s="17">
        <v>282899626</v>
      </c>
      <c r="J28" s="17">
        <v>245592363</v>
      </c>
      <c r="K28" s="17">
        <v>18371169</v>
      </c>
      <c r="L28" s="17">
        <v>22019179</v>
      </c>
      <c r="M28" s="18">
        <f t="shared" si="0"/>
        <v>19.857255681443032</v>
      </c>
      <c r="N28" s="17">
        <f>Q28-K28</f>
        <v>21284232</v>
      </c>
      <c r="O28" s="17">
        <f>R28-L28</f>
        <v>21064301</v>
      </c>
      <c r="P28" s="18">
        <f t="shared" si="1"/>
        <v>-1.0333048427587199</v>
      </c>
      <c r="Q28" s="17">
        <v>39655401</v>
      </c>
      <c r="R28" s="17">
        <v>43083480</v>
      </c>
      <c r="S28" s="18">
        <f t="shared" si="2"/>
        <v>8.64467112563052</v>
      </c>
      <c r="T28" s="17">
        <f>W28-Q28</f>
        <v>23016751</v>
      </c>
      <c r="U28" s="17">
        <f>X28-R28</f>
        <v>24468718</v>
      </c>
      <c r="V28" s="18">
        <f t="shared" si="150"/>
        <v>6.3083056335796472</v>
      </c>
      <c r="W28" s="17">
        <v>62672152</v>
      </c>
      <c r="X28" s="17">
        <v>67552198</v>
      </c>
      <c r="Y28" s="18">
        <f t="shared" si="151"/>
        <v>7.7866258685356682</v>
      </c>
      <c r="Z28" s="17">
        <f>AC28-W28</f>
        <v>20227043</v>
      </c>
      <c r="AA28" s="17">
        <f>AD28-X28</f>
        <v>21282103</v>
      </c>
      <c r="AB28" s="18">
        <f t="shared" si="152"/>
        <v>5.2160862069655867</v>
      </c>
      <c r="AC28" s="17">
        <v>82899195</v>
      </c>
      <c r="AD28" s="17">
        <v>88834301</v>
      </c>
      <c r="AE28" s="18">
        <f t="shared" si="153"/>
        <v>7.1594253719833967</v>
      </c>
      <c r="AF28" s="17">
        <f>AI28-AC28</f>
        <v>18372327</v>
      </c>
      <c r="AG28" s="17">
        <f>AJ28-AD28</f>
        <v>20194133</v>
      </c>
      <c r="AH28" s="18">
        <f t="shared" si="154"/>
        <v>9.9160329554334616</v>
      </c>
      <c r="AI28" s="17">
        <v>101271522</v>
      </c>
      <c r="AJ28" s="17">
        <v>109028434</v>
      </c>
      <c r="AK28" s="18">
        <f t="shared" si="155"/>
        <v>7.6595195241560665</v>
      </c>
      <c r="AL28" s="17">
        <f>AO28-AI28</f>
        <v>18767746</v>
      </c>
      <c r="AM28" s="17">
        <f>AP28-AJ28</f>
        <v>20881812</v>
      </c>
      <c r="AN28" s="18">
        <f t="shared" si="156"/>
        <v>11.264357477983777</v>
      </c>
      <c r="AO28" s="17">
        <v>120039268</v>
      </c>
      <c r="AP28" s="17">
        <v>129910246</v>
      </c>
      <c r="AQ28" s="18">
        <f t="shared" si="157"/>
        <v>8.2231241196839111</v>
      </c>
      <c r="AR28" s="17">
        <f>AU28-AO28</f>
        <v>22235550</v>
      </c>
      <c r="AS28" s="17">
        <f>AV28-AP28</f>
        <v>19040704</v>
      </c>
      <c r="AT28" s="18">
        <f t="shared" si="158"/>
        <v>-14.368189678240473</v>
      </c>
      <c r="AU28" s="17">
        <v>142274818</v>
      </c>
      <c r="AV28" s="17">
        <v>148950950</v>
      </c>
      <c r="AW28" s="18">
        <f t="shared" si="159"/>
        <v>4.6924199896006824</v>
      </c>
      <c r="AX28" s="17">
        <f>BA28-AU28</f>
        <v>21078089</v>
      </c>
      <c r="AY28" s="17">
        <f>BB28-AV28</f>
        <v>21431275</v>
      </c>
      <c r="AZ28" s="18">
        <f t="shared" si="160"/>
        <v>1.675607309562066</v>
      </c>
      <c r="BA28" s="17">
        <v>163352907</v>
      </c>
      <c r="BB28" s="17">
        <v>170382225</v>
      </c>
      <c r="BC28" s="18">
        <f t="shared" si="161"/>
        <v>4.3031483975978446</v>
      </c>
      <c r="BD28" s="17">
        <f>BG28-BA28</f>
        <v>18723041</v>
      </c>
      <c r="BE28" s="17">
        <f>BH28-BB28</f>
        <v>25811663</v>
      </c>
      <c r="BF28" s="18">
        <f t="shared" si="162"/>
        <v>37.860420216993603</v>
      </c>
      <c r="BG28" s="17">
        <v>182075948</v>
      </c>
      <c r="BH28" s="17">
        <v>196193888</v>
      </c>
      <c r="BI28" s="18">
        <f t="shared" si="163"/>
        <v>7.7538742239584568</v>
      </c>
      <c r="BJ28" s="17">
        <f>BM28-BG28</f>
        <v>19227733</v>
      </c>
      <c r="BK28" s="17">
        <f>BN28-BH28</f>
        <v>24082444</v>
      </c>
      <c r="BL28" s="18">
        <f t="shared" si="164"/>
        <v>25.248483531573896</v>
      </c>
      <c r="BM28" s="17">
        <v>201303681</v>
      </c>
      <c r="BN28" s="17">
        <v>220276332</v>
      </c>
      <c r="BO28" s="18">
        <f t="shared" si="165"/>
        <v>9.4248902482811481</v>
      </c>
      <c r="BP28" s="17">
        <f>BS28-BM28</f>
        <v>22346431</v>
      </c>
      <c r="BQ28" s="17">
        <f>BT28-BN28</f>
        <v>23493892</v>
      </c>
      <c r="BR28" s="18">
        <f t="shared" si="166"/>
        <v>5.1348736628233915</v>
      </c>
      <c r="BS28" s="17">
        <v>223650112</v>
      </c>
      <c r="BT28" s="17">
        <v>243770224</v>
      </c>
      <c r="BU28" s="18">
        <f t="shared" si="167"/>
        <v>8.9962449918200793</v>
      </c>
      <c r="BV28" s="17">
        <f>BY28-BS28</f>
        <v>21942251</v>
      </c>
      <c r="BW28" s="17">
        <f>BZ28-BT28</f>
        <v>22017715</v>
      </c>
      <c r="BX28" s="18">
        <f t="shared" si="168"/>
        <v>0.34392095870199313</v>
      </c>
      <c r="BY28" s="17">
        <v>245592363</v>
      </c>
      <c r="BZ28" s="17">
        <v>265787939</v>
      </c>
      <c r="CA28" s="18">
        <f t="shared" si="169"/>
        <v>8.2232101003890001</v>
      </c>
      <c r="CB28" s="108"/>
    </row>
    <row r="29" spans="1:80" s="1" customFormat="1" ht="19.5" customHeight="1">
      <c r="A29" s="153"/>
      <c r="B29" s="121"/>
      <c r="C29" s="93" t="s">
        <v>105</v>
      </c>
      <c r="D29" s="64">
        <f t="shared" ref="D29:L29" si="170">D28/D27</f>
        <v>23.290470272938549</v>
      </c>
      <c r="E29" s="64">
        <f t="shared" si="170"/>
        <v>21.642484179613671</v>
      </c>
      <c r="F29" s="64">
        <f t="shared" si="170"/>
        <v>22.30159091477061</v>
      </c>
      <c r="G29" s="64">
        <f t="shared" si="170"/>
        <v>21.748371806999245</v>
      </c>
      <c r="H29" s="64">
        <f>H28/H27</f>
        <v>23.725894968815545</v>
      </c>
      <c r="I29" s="64">
        <f>I28/I27</f>
        <v>24.525531424061391</v>
      </c>
      <c r="J29" s="64">
        <f>J28/J27</f>
        <v>26.645189607141567</v>
      </c>
      <c r="K29" s="64">
        <f t="shared" si="170"/>
        <v>31.354986866561191</v>
      </c>
      <c r="L29" s="64">
        <f t="shared" si="170"/>
        <v>22.948190600062322</v>
      </c>
      <c r="M29" s="65"/>
      <c r="N29" s="64">
        <f>N28/N27</f>
        <v>25.171430902904664</v>
      </c>
      <c r="O29" s="64">
        <f>O28/O27</f>
        <v>26.680795143212162</v>
      </c>
      <c r="P29" s="65"/>
      <c r="Q29" s="64">
        <f>Q28/Q27</f>
        <v>27.702378657054236</v>
      </c>
      <c r="R29" s="64">
        <f>R28/R27</f>
        <v>24.633066706308139</v>
      </c>
      <c r="S29" s="65"/>
      <c r="T29" s="64">
        <f>T28/T27</f>
        <v>29.322382811753538</v>
      </c>
      <c r="U29" s="64">
        <f>U28/U27</f>
        <v>20.572061055224626</v>
      </c>
      <c r="V29" s="65"/>
      <c r="W29" s="64">
        <f>W28/W27</f>
        <v>28.276106450222994</v>
      </c>
      <c r="X29" s="64">
        <f>X28/X27</f>
        <v>22.989253766898933</v>
      </c>
      <c r="Y29" s="65"/>
      <c r="Z29" s="64">
        <f>Z28/Z27</f>
        <v>29.88514477871713</v>
      </c>
      <c r="AA29" s="64">
        <f>AA28/AA27</f>
        <v>20.045722902801039</v>
      </c>
      <c r="AB29" s="65"/>
      <c r="AC29" s="64">
        <f>AC28/AC27</f>
        <v>28.652511819707936</v>
      </c>
      <c r="AD29" s="64">
        <f>AD28/AD27</f>
        <v>22.208003393912605</v>
      </c>
      <c r="AE29" s="65"/>
      <c r="AF29" s="64">
        <f>AF28/AF27</f>
        <v>28.708465502639218</v>
      </c>
      <c r="AG29" s="64">
        <f>AG28/AG27</f>
        <v>22.960950495679928</v>
      </c>
      <c r="AH29" s="65"/>
      <c r="AI29" s="64">
        <f>AI28/AI27</f>
        <v>28.66264654113256</v>
      </c>
      <c r="AJ29" s="64">
        <f>AJ28/AJ27</f>
        <v>22.343714507863552</v>
      </c>
      <c r="AK29" s="65"/>
      <c r="AL29" s="64">
        <f>AL28/AL27</f>
        <v>31.820255847271557</v>
      </c>
      <c r="AM29" s="64">
        <f>AM28/AM27</f>
        <v>22.336092656791006</v>
      </c>
      <c r="AN29" s="65"/>
      <c r="AO29" s="64">
        <f>AO28/AO27</f>
        <v>29.114347028446083</v>
      </c>
      <c r="AP29" s="64">
        <f>AP28/AP27</f>
        <v>22.342489018389049</v>
      </c>
      <c r="AQ29" s="65"/>
      <c r="AR29" s="64">
        <f>AR28/AR27</f>
        <v>24.233664069890622</v>
      </c>
      <c r="AS29" s="64">
        <f>AS28/AS27</f>
        <v>22.58322095512581</v>
      </c>
      <c r="AT29" s="65"/>
      <c r="AU29" s="64">
        <f>AU28/AU27</f>
        <v>28.225904737871229</v>
      </c>
      <c r="AV29" s="64">
        <f>AV28/AV27</f>
        <v>22.372975780563287</v>
      </c>
      <c r="AW29" s="65"/>
      <c r="AX29" s="64">
        <f>AX28/AX27</f>
        <v>24.621059455671066</v>
      </c>
      <c r="AY29" s="64">
        <f>AY28/AY27</f>
        <v>18.502480376278175</v>
      </c>
      <c r="AZ29" s="65"/>
      <c r="BA29" s="64">
        <f>BA28/BA27</f>
        <v>27.702540719551152</v>
      </c>
      <c r="BB29" s="64">
        <f>BB28/BB27</f>
        <v>21.799381902578329</v>
      </c>
      <c r="BC29" s="65"/>
      <c r="BD29" s="64">
        <f>BD28/BD27</f>
        <v>26.498756657226604</v>
      </c>
      <c r="BE29" s="64">
        <f>BE28/BE27</f>
        <v>21.350974669995253</v>
      </c>
      <c r="BF29" s="65"/>
      <c r="BG29" s="64">
        <f>BG28/BG27</f>
        <v>27.573732830206509</v>
      </c>
      <c r="BH29" s="64">
        <f>BH28/BH27</f>
        <v>21.739315547020102</v>
      </c>
      <c r="BI29" s="65"/>
      <c r="BJ29" s="64">
        <f>BJ28/BJ27</f>
        <v>22.518311314004105</v>
      </c>
      <c r="BK29" s="64">
        <f>BK28/BK27</f>
        <v>22.49217943724824</v>
      </c>
      <c r="BL29" s="65"/>
      <c r="BM29" s="64">
        <f>BM28/BM27</f>
        <v>26.994865437146562</v>
      </c>
      <c r="BN29" s="64">
        <f>BN28/BN27</f>
        <v>21.819162016513225</v>
      </c>
      <c r="BO29" s="65"/>
      <c r="BP29" s="64">
        <f>BP28/BP27</f>
        <v>27.610820475056094</v>
      </c>
      <c r="BQ29" s="64">
        <f>BQ28/BQ27</f>
        <v>16.746673851788334</v>
      </c>
      <c r="BR29" s="65"/>
      <c r="BS29" s="64">
        <f>BS28/BS27</f>
        <v>27.055171230780434</v>
      </c>
      <c r="BT29" s="64">
        <f>BT28/BT27</f>
        <v>21.2002792725694</v>
      </c>
      <c r="BU29" s="65"/>
      <c r="BV29" s="64">
        <f>BV28/BV27</f>
        <v>23.080318421022184</v>
      </c>
      <c r="BW29" s="64">
        <f>BW28/BW27</f>
        <v>21.744388042308184</v>
      </c>
      <c r="BX29" s="65"/>
      <c r="BY29" s="64">
        <f>BY28/BY27</f>
        <v>26.645189607141567</v>
      </c>
      <c r="BZ29" s="64">
        <f>BZ28/BZ27</f>
        <v>21.244316327997076</v>
      </c>
      <c r="CA29" s="65"/>
      <c r="CB29" s="108"/>
    </row>
    <row r="30" spans="1:80" s="1" customFormat="1" ht="19.5" customHeight="1">
      <c r="A30" s="164" t="s">
        <v>167</v>
      </c>
      <c r="B30" s="114">
        <v>8109</v>
      </c>
      <c r="C30" s="32" t="s">
        <v>42</v>
      </c>
      <c r="D30" s="66">
        <v>354545</v>
      </c>
      <c r="E30" s="66">
        <v>301439</v>
      </c>
      <c r="F30" s="66">
        <v>893601</v>
      </c>
      <c r="G30" s="66">
        <v>852644</v>
      </c>
      <c r="H30" s="66">
        <v>352387</v>
      </c>
      <c r="I30" s="66">
        <v>318487</v>
      </c>
      <c r="J30" s="66">
        <v>307255</v>
      </c>
      <c r="K30" s="66">
        <v>43513</v>
      </c>
      <c r="L30" s="66">
        <v>36160</v>
      </c>
      <c r="M30" s="15">
        <f t="shared" si="0"/>
        <v>-16.898398179854301</v>
      </c>
      <c r="N30" s="63">
        <f>Q30-K30</f>
        <v>31773</v>
      </c>
      <c r="O30" s="63">
        <f>R30-L30</f>
        <v>7942</v>
      </c>
      <c r="P30" s="15">
        <f t="shared" si="1"/>
        <v>-75.003934157932832</v>
      </c>
      <c r="Q30" s="66">
        <v>75286</v>
      </c>
      <c r="R30" s="66">
        <v>44102</v>
      </c>
      <c r="S30" s="15">
        <f t="shared" si="2"/>
        <v>-41.420715670908272</v>
      </c>
      <c r="T30" s="63">
        <f>W30-Q30</f>
        <v>7927</v>
      </c>
      <c r="U30" s="63">
        <f>X30-R30</f>
        <v>4757</v>
      </c>
      <c r="V30" s="15">
        <f t="shared" ref="V30:V31" si="171">(U30/T30-1)*100</f>
        <v>-39.989907909675793</v>
      </c>
      <c r="W30" s="66">
        <v>83213</v>
      </c>
      <c r="X30" s="66">
        <v>48859</v>
      </c>
      <c r="Y30" s="15">
        <f t="shared" ref="Y30:Y31" si="172">(X30/W30-1)*100</f>
        <v>-41.284414694819318</v>
      </c>
      <c r="Z30" s="63">
        <f>AC30-W30</f>
        <v>8825</v>
      </c>
      <c r="AA30" s="63">
        <f>AD30-X30</f>
        <v>7092</v>
      </c>
      <c r="AB30" s="15">
        <f t="shared" ref="AB30:AB31" si="173">(AA30/Z30-1)*100</f>
        <v>-19.63739376770538</v>
      </c>
      <c r="AC30" s="66">
        <v>92038</v>
      </c>
      <c r="AD30" s="66">
        <v>55951</v>
      </c>
      <c r="AE30" s="15">
        <f t="shared" ref="AE30:AE31" si="174">(AD30/AC30-1)*100</f>
        <v>-39.208805058780072</v>
      </c>
      <c r="AF30" s="63">
        <f>AI30-AC30</f>
        <v>4395</v>
      </c>
      <c r="AG30" s="63">
        <f>AJ30-AD30</f>
        <v>7185</v>
      </c>
      <c r="AH30" s="15">
        <f t="shared" ref="AH30:AH31" si="175">(AG30/AF30-1)*100</f>
        <v>63.481228668941966</v>
      </c>
      <c r="AI30" s="66">
        <v>96433</v>
      </c>
      <c r="AJ30" s="66">
        <v>63136</v>
      </c>
      <c r="AK30" s="15">
        <f t="shared" ref="AK30:AK31" si="176">(AJ30/AI30-1)*100</f>
        <v>-34.528636462621719</v>
      </c>
      <c r="AL30" s="63">
        <f>AO30-AI30</f>
        <v>29172</v>
      </c>
      <c r="AM30" s="63">
        <f>AP30-AJ30</f>
        <v>8902</v>
      </c>
      <c r="AN30" s="15">
        <f t="shared" ref="AN30:AN31" si="177">(AM30/AL30-1)*100</f>
        <v>-69.484437131495952</v>
      </c>
      <c r="AO30" s="66">
        <v>125605</v>
      </c>
      <c r="AP30" s="66">
        <v>72038</v>
      </c>
      <c r="AQ30" s="15">
        <f t="shared" ref="AQ30:AQ31" si="178">(AP30/AO30-1)*100</f>
        <v>-42.647187611958124</v>
      </c>
      <c r="AR30" s="63">
        <f>AU30-AO30</f>
        <v>24613</v>
      </c>
      <c r="AS30" s="63">
        <f>AV30-AP30</f>
        <v>46008</v>
      </c>
      <c r="AT30" s="15">
        <f t="shared" ref="AT30:AT31" si="179">(AS30/AR30-1)*100</f>
        <v>86.92560841831552</v>
      </c>
      <c r="AU30" s="66">
        <v>150218</v>
      </c>
      <c r="AV30" s="66">
        <v>118046</v>
      </c>
      <c r="AW30" s="15">
        <f t="shared" ref="AW30:AW31" si="180">(AV30/AU30-1)*100</f>
        <v>-21.416874142912302</v>
      </c>
      <c r="AX30" s="63">
        <f>BA30-AU30</f>
        <v>22064</v>
      </c>
      <c r="AY30" s="63">
        <f>BB30-AV30</f>
        <v>27460</v>
      </c>
      <c r="AZ30" s="15">
        <f t="shared" ref="AZ30:AZ31" si="181">(AY30/AX30-1)*100</f>
        <v>24.456127628716452</v>
      </c>
      <c r="BA30" s="66">
        <v>172282</v>
      </c>
      <c r="BB30" s="66">
        <v>145506</v>
      </c>
      <c r="BC30" s="15">
        <f t="shared" ref="BC30:BC31" si="182">(BB30/BA30-1)*100</f>
        <v>-15.541960274433775</v>
      </c>
      <c r="BD30" s="63">
        <f>BG30-BA30</f>
        <v>26043</v>
      </c>
      <c r="BE30" s="63">
        <f>BH30-BB30</f>
        <v>9477</v>
      </c>
      <c r="BF30" s="15">
        <f t="shared" ref="BF30:BF31" si="183">(BE30/BD30-1)*100</f>
        <v>-63.610183158622277</v>
      </c>
      <c r="BG30" s="66">
        <v>198325</v>
      </c>
      <c r="BH30" s="66">
        <v>154983</v>
      </c>
      <c r="BI30" s="15">
        <f t="shared" ref="BI30:BI31" si="184">(BH30/BG30-1)*100</f>
        <v>-21.854027480146222</v>
      </c>
      <c r="BJ30" s="63">
        <f>BM30-BG30</f>
        <v>28786</v>
      </c>
      <c r="BK30" s="63">
        <f>BN30-BH30</f>
        <v>42833</v>
      </c>
      <c r="BL30" s="15">
        <f t="shared" ref="BL30:BL31" si="185">(BK30/BJ30-1)*100</f>
        <v>48.798026818592376</v>
      </c>
      <c r="BM30" s="66">
        <v>227111</v>
      </c>
      <c r="BN30" s="66">
        <v>197816</v>
      </c>
      <c r="BO30" s="15">
        <f t="shared" ref="BO30:BO31" si="186">(BN30/BM30-1)*100</f>
        <v>-12.898978913394776</v>
      </c>
      <c r="BP30" s="63">
        <f>BS30-BM30</f>
        <v>36124</v>
      </c>
      <c r="BQ30" s="63">
        <f>BT30-BN30</f>
        <v>42761</v>
      </c>
      <c r="BR30" s="15">
        <f t="shared" ref="BR30:BR31" si="187">(BQ30/BP30-1)*100</f>
        <v>18.37282692946518</v>
      </c>
      <c r="BS30" s="66">
        <v>263235</v>
      </c>
      <c r="BT30" s="66">
        <v>240577</v>
      </c>
      <c r="BU30" s="15">
        <f t="shared" ref="BU30:BU31" si="188">(BT30/BS30-1)*100</f>
        <v>-8.607517997226811</v>
      </c>
      <c r="BV30" s="63">
        <f>BY30-BS30</f>
        <v>44020</v>
      </c>
      <c r="BW30" s="63">
        <f>BZ30-BT30</f>
        <v>52528</v>
      </c>
      <c r="BX30" s="15">
        <f t="shared" ref="BX30:BX31" si="189">(BW30/BV30-1)*100</f>
        <v>19.327578373466615</v>
      </c>
      <c r="BY30" s="66">
        <v>307255</v>
      </c>
      <c r="BZ30" s="66">
        <v>293105</v>
      </c>
      <c r="CA30" s="15">
        <f t="shared" ref="CA30:CA31" si="190">(BZ30/BY30-1)*100</f>
        <v>-4.6052952759108923</v>
      </c>
      <c r="CB30" s="108"/>
    </row>
    <row r="31" spans="1:80" s="1" customFormat="1" ht="19.5" customHeight="1">
      <c r="A31" s="154"/>
      <c r="B31" s="115"/>
      <c r="C31" s="33" t="s">
        <v>104</v>
      </c>
      <c r="D31" s="17">
        <v>33958011</v>
      </c>
      <c r="E31" s="17">
        <v>32501363</v>
      </c>
      <c r="F31" s="17">
        <v>45853092</v>
      </c>
      <c r="G31" s="17">
        <v>31567652</v>
      </c>
      <c r="H31" s="17">
        <v>48494064</v>
      </c>
      <c r="I31" s="17">
        <v>40011453</v>
      </c>
      <c r="J31" s="17">
        <v>38706613</v>
      </c>
      <c r="K31" s="17">
        <v>4629771</v>
      </c>
      <c r="L31" s="17">
        <v>4024347</v>
      </c>
      <c r="M31" s="18">
        <f t="shared" si="0"/>
        <v>-13.076759088084488</v>
      </c>
      <c r="N31" s="17">
        <f>Q31-K31</f>
        <v>4399750</v>
      </c>
      <c r="O31" s="17">
        <f>R31-L31</f>
        <v>709499</v>
      </c>
      <c r="P31" s="18">
        <f t="shared" si="1"/>
        <v>-83.874106483322919</v>
      </c>
      <c r="Q31" s="17">
        <v>9029521</v>
      </c>
      <c r="R31" s="17">
        <v>4733846</v>
      </c>
      <c r="S31" s="18">
        <f t="shared" si="2"/>
        <v>-47.573675281335525</v>
      </c>
      <c r="T31" s="17">
        <f>W31-Q31</f>
        <v>1126247</v>
      </c>
      <c r="U31" s="17">
        <f>X31-R31</f>
        <v>1026762</v>
      </c>
      <c r="V31" s="18">
        <f t="shared" si="171"/>
        <v>-8.8333198667787762</v>
      </c>
      <c r="W31" s="17">
        <v>10155768</v>
      </c>
      <c r="X31" s="17">
        <v>5760608</v>
      </c>
      <c r="Y31" s="18">
        <f t="shared" si="172"/>
        <v>-43.277475420864285</v>
      </c>
      <c r="Z31" s="17">
        <f>AC31-W31</f>
        <v>1546631</v>
      </c>
      <c r="AA31" s="17">
        <f>AD31-X31</f>
        <v>1237982</v>
      </c>
      <c r="AB31" s="18">
        <f t="shared" si="173"/>
        <v>-19.95621450753282</v>
      </c>
      <c r="AC31" s="17">
        <v>11702399</v>
      </c>
      <c r="AD31" s="17">
        <v>6998590</v>
      </c>
      <c r="AE31" s="18">
        <f t="shared" si="174"/>
        <v>-40.195253981683585</v>
      </c>
      <c r="AF31" s="17">
        <f>AI31-AC31</f>
        <v>875944</v>
      </c>
      <c r="AG31" s="17">
        <f>AJ31-AD31</f>
        <v>77538</v>
      </c>
      <c r="AH31" s="18">
        <f t="shared" si="175"/>
        <v>-91.148064259815698</v>
      </c>
      <c r="AI31" s="17">
        <v>12578343</v>
      </c>
      <c r="AJ31" s="17">
        <v>7076128</v>
      </c>
      <c r="AK31" s="18">
        <f t="shared" si="176"/>
        <v>-43.743559863171164</v>
      </c>
      <c r="AL31" s="17">
        <f>AO31-AI31</f>
        <v>3130612</v>
      </c>
      <c r="AM31" s="17">
        <f>AP31-AJ31</f>
        <v>969515</v>
      </c>
      <c r="AN31" s="18">
        <f t="shared" si="177"/>
        <v>-69.031135126294799</v>
      </c>
      <c r="AO31" s="17">
        <v>15708955</v>
      </c>
      <c r="AP31" s="17">
        <v>8045643</v>
      </c>
      <c r="AQ31" s="18">
        <f t="shared" si="178"/>
        <v>-48.783079460091393</v>
      </c>
      <c r="AR31" s="17">
        <f>AU31-AO31</f>
        <v>2709781</v>
      </c>
      <c r="AS31" s="17">
        <f>AV31-AP31</f>
        <v>6041396</v>
      </c>
      <c r="AT31" s="18">
        <f t="shared" si="179"/>
        <v>122.94775850889796</v>
      </c>
      <c r="AU31" s="17">
        <v>18418736</v>
      </c>
      <c r="AV31" s="17">
        <v>14087039</v>
      </c>
      <c r="AW31" s="18">
        <f t="shared" si="180"/>
        <v>-23.517884180543113</v>
      </c>
      <c r="AX31" s="17">
        <f>BA31-AU31</f>
        <v>3513901</v>
      </c>
      <c r="AY31" s="17">
        <f>BB31-AV31</f>
        <v>4506460</v>
      </c>
      <c r="AZ31" s="18">
        <f t="shared" si="181"/>
        <v>28.246640983909344</v>
      </c>
      <c r="BA31" s="17">
        <v>21932637</v>
      </c>
      <c r="BB31" s="17">
        <v>18593499</v>
      </c>
      <c r="BC31" s="18">
        <f t="shared" si="182"/>
        <v>-15.224516778351827</v>
      </c>
      <c r="BD31" s="17">
        <f>BG31-BA31</f>
        <v>3267448</v>
      </c>
      <c r="BE31" s="17">
        <f>BH31-BB31</f>
        <v>227540</v>
      </c>
      <c r="BF31" s="18">
        <f t="shared" si="183"/>
        <v>-93.036155433843177</v>
      </c>
      <c r="BG31" s="17">
        <v>25200085</v>
      </c>
      <c r="BH31" s="17">
        <v>18821039</v>
      </c>
      <c r="BI31" s="18">
        <f t="shared" si="184"/>
        <v>-25.313589220036359</v>
      </c>
      <c r="BJ31" s="17">
        <f>BM31-BG31</f>
        <v>3490817</v>
      </c>
      <c r="BK31" s="17">
        <f>BN31-BH31</f>
        <v>4882231</v>
      </c>
      <c r="BL31" s="18">
        <f t="shared" si="185"/>
        <v>39.859265037382372</v>
      </c>
      <c r="BM31" s="17">
        <v>28690902</v>
      </c>
      <c r="BN31" s="17">
        <v>23703270</v>
      </c>
      <c r="BO31" s="18">
        <f t="shared" si="186"/>
        <v>-17.384019505556147</v>
      </c>
      <c r="BP31" s="17">
        <f>BS31-BM31</f>
        <v>4760666</v>
      </c>
      <c r="BQ31" s="17">
        <f>BT31-BN31</f>
        <v>3812273</v>
      </c>
      <c r="BR31" s="18">
        <f t="shared" si="187"/>
        <v>-19.921435362195115</v>
      </c>
      <c r="BS31" s="17">
        <v>33451568</v>
      </c>
      <c r="BT31" s="17">
        <v>27515543</v>
      </c>
      <c r="BU31" s="18">
        <f t="shared" si="188"/>
        <v>-17.745132305905663</v>
      </c>
      <c r="BV31" s="17">
        <f>BY31-BS31</f>
        <v>5255045</v>
      </c>
      <c r="BW31" s="17">
        <f>BZ31-BT31</f>
        <v>7411861</v>
      </c>
      <c r="BX31" s="18">
        <f t="shared" si="189"/>
        <v>41.042769376855958</v>
      </c>
      <c r="BY31" s="17">
        <v>38706613</v>
      </c>
      <c r="BZ31" s="17">
        <v>34927404</v>
      </c>
      <c r="CA31" s="18">
        <f t="shared" si="190"/>
        <v>-9.7637295208444108</v>
      </c>
      <c r="CB31" s="108"/>
    </row>
    <row r="32" spans="1:80" s="1" customFormat="1" ht="19.5" customHeight="1">
      <c r="A32" s="155"/>
      <c r="B32" s="116"/>
      <c r="C32" s="93" t="s">
        <v>105</v>
      </c>
      <c r="D32" s="64">
        <f t="shared" ref="D32:L32" si="191">D31/D30</f>
        <v>95.779128178369461</v>
      </c>
      <c r="E32" s="64">
        <f t="shared" si="191"/>
        <v>107.82069672471047</v>
      </c>
      <c r="F32" s="64">
        <f t="shared" si="191"/>
        <v>51.312713392218676</v>
      </c>
      <c r="G32" s="64">
        <f t="shared" si="191"/>
        <v>37.023250031666208</v>
      </c>
      <c r="H32" s="64">
        <f>H31/H30</f>
        <v>137.61592794285829</v>
      </c>
      <c r="I32" s="64">
        <f>I31/I30</f>
        <v>125.62978394722548</v>
      </c>
      <c r="J32" s="64">
        <f>J31/J30</f>
        <v>125.97553497908903</v>
      </c>
      <c r="K32" s="64">
        <f t="shared" si="191"/>
        <v>106.39971962402041</v>
      </c>
      <c r="L32" s="64">
        <f t="shared" si="191"/>
        <v>111.29278207964602</v>
      </c>
      <c r="M32" s="65"/>
      <c r="N32" s="64">
        <f>N31/N30</f>
        <v>138.4744909199635</v>
      </c>
      <c r="O32" s="64">
        <f>O31/O30</f>
        <v>89.335054142533366</v>
      </c>
      <c r="P32" s="65"/>
      <c r="Q32" s="64">
        <f>Q31/Q30</f>
        <v>119.93625640889408</v>
      </c>
      <c r="R32" s="64">
        <f>R31/R30</f>
        <v>107.33857874926308</v>
      </c>
      <c r="S32" s="65"/>
      <c r="T32" s="64">
        <f>T31/T30</f>
        <v>142.07733064210925</v>
      </c>
      <c r="U32" s="64">
        <f>U31/U30</f>
        <v>215.84233760773597</v>
      </c>
      <c r="V32" s="65"/>
      <c r="W32" s="64">
        <f>W31/W30</f>
        <v>122.04544962926465</v>
      </c>
      <c r="X32" s="64">
        <f>X31/X30</f>
        <v>117.90269960498577</v>
      </c>
      <c r="Y32" s="65"/>
      <c r="Z32" s="64">
        <f>Z31/Z30</f>
        <v>175.2556373937677</v>
      </c>
      <c r="AA32" s="64">
        <f>AA31/AA30</f>
        <v>174.56034968979131</v>
      </c>
      <c r="AB32" s="65"/>
      <c r="AC32" s="64">
        <f>AC31/AC30</f>
        <v>127.14747169647319</v>
      </c>
      <c r="AD32" s="64">
        <f>AD31/AD30</f>
        <v>125.08427016496577</v>
      </c>
      <c r="AE32" s="65"/>
      <c r="AF32" s="64">
        <f>AF31/AF30</f>
        <v>199.30466439135381</v>
      </c>
      <c r="AG32" s="64">
        <f>AG31/AG30</f>
        <v>10.791649269311065</v>
      </c>
      <c r="AH32" s="65"/>
      <c r="AI32" s="64">
        <f>AI31/AI30</f>
        <v>130.43608515757055</v>
      </c>
      <c r="AJ32" s="64">
        <f>AJ31/AJ30</f>
        <v>112.07754688291941</v>
      </c>
      <c r="AK32" s="65"/>
      <c r="AL32" s="64">
        <f>AL31/AL30</f>
        <v>107.31564513917455</v>
      </c>
      <c r="AM32" s="64">
        <f>AM31/AM30</f>
        <v>108.90979555156144</v>
      </c>
      <c r="AN32" s="65"/>
      <c r="AO32" s="64">
        <f>AO31/AO30</f>
        <v>125.06631901596273</v>
      </c>
      <c r="AP32" s="64">
        <f>AP31/AP30</f>
        <v>111.68609622699131</v>
      </c>
      <c r="AQ32" s="65"/>
      <c r="AR32" s="64">
        <f>AR31/AR30</f>
        <v>110.09551862836712</v>
      </c>
      <c r="AS32" s="64">
        <f>AS31/AS30</f>
        <v>131.31185880716396</v>
      </c>
      <c r="AT32" s="65"/>
      <c r="AU32" s="64">
        <f>AU31/AU30</f>
        <v>122.61337522800197</v>
      </c>
      <c r="AV32" s="64">
        <f>AV31/AV30</f>
        <v>119.33516595225591</v>
      </c>
      <c r="AW32" s="65"/>
      <c r="AX32" s="64">
        <f>AX31/AX30</f>
        <v>159.25947244379987</v>
      </c>
      <c r="AY32" s="64">
        <f>AY31/AY30</f>
        <v>164.10997815003643</v>
      </c>
      <c r="AZ32" s="65"/>
      <c r="BA32" s="64">
        <f>BA31/BA30</f>
        <v>127.30660777098014</v>
      </c>
      <c r="BB32" s="64">
        <f>BB31/BB30</f>
        <v>127.78510164529298</v>
      </c>
      <c r="BC32" s="65"/>
      <c r="BD32" s="64">
        <f>BD31/BD30</f>
        <v>125.46357946473141</v>
      </c>
      <c r="BE32" s="64">
        <f>BE31/BE30</f>
        <v>24.009707713411416</v>
      </c>
      <c r="BF32" s="65"/>
      <c r="BG32" s="64">
        <f>BG31/BG30</f>
        <v>127.06459094919954</v>
      </c>
      <c r="BH32" s="64">
        <f>BH31/BH30</f>
        <v>121.4393772220179</v>
      </c>
      <c r="BI32" s="65"/>
      <c r="BJ32" s="64">
        <f>BJ31/BJ30</f>
        <v>121.26787327172931</v>
      </c>
      <c r="BK32" s="64">
        <f>BK31/BK30</f>
        <v>113.98293371932856</v>
      </c>
      <c r="BL32" s="65"/>
      <c r="BM32" s="64">
        <f>BM31/BM30</f>
        <v>126.32986513202795</v>
      </c>
      <c r="BN32" s="64">
        <f>BN31/BN30</f>
        <v>119.82483722246937</v>
      </c>
      <c r="BO32" s="65"/>
      <c r="BP32" s="64">
        <f>BP31/BP30</f>
        <v>131.78678994574244</v>
      </c>
      <c r="BQ32" s="64">
        <f>BQ31/BQ30</f>
        <v>89.153036645541505</v>
      </c>
      <c r="BR32" s="65"/>
      <c r="BS32" s="64">
        <f>BS31/BS30</f>
        <v>127.07872433377021</v>
      </c>
      <c r="BT32" s="64">
        <f>BT31/BT30</f>
        <v>114.37312378157513</v>
      </c>
      <c r="BU32" s="65"/>
      <c r="BV32" s="64">
        <f>BV31/BV30</f>
        <v>119.37857791912766</v>
      </c>
      <c r="BW32" s="64">
        <f>BW31/BW30</f>
        <v>141.10304980201036</v>
      </c>
      <c r="BX32" s="65"/>
      <c r="BY32" s="64">
        <f>BY31/BY30</f>
        <v>125.97553497908903</v>
      </c>
      <c r="BZ32" s="64">
        <f>BZ31/BZ30</f>
        <v>119.16345336995275</v>
      </c>
      <c r="CA32" s="65"/>
      <c r="CB32" s="108"/>
    </row>
    <row r="33" spans="1:80" s="1" customFormat="1" ht="19.5" customHeight="1">
      <c r="A33" s="164" t="s">
        <v>168</v>
      </c>
      <c r="B33" s="114">
        <v>8110</v>
      </c>
      <c r="C33" s="32" t="s">
        <v>42</v>
      </c>
      <c r="D33" s="66">
        <v>6164867</v>
      </c>
      <c r="E33" s="66">
        <v>7675331</v>
      </c>
      <c r="F33" s="66">
        <v>6916382</v>
      </c>
      <c r="G33" s="66">
        <v>6238380</v>
      </c>
      <c r="H33" s="66">
        <v>5333519</v>
      </c>
      <c r="I33" s="66">
        <v>5065181</v>
      </c>
      <c r="J33" s="66">
        <v>4705565</v>
      </c>
      <c r="K33" s="66">
        <v>442541</v>
      </c>
      <c r="L33" s="66">
        <v>85464</v>
      </c>
      <c r="M33" s="15">
        <f t="shared" si="0"/>
        <v>-80.687891065460605</v>
      </c>
      <c r="N33" s="63">
        <f>Q33-K33</f>
        <v>227673</v>
      </c>
      <c r="O33" s="63">
        <f>R33-L33</f>
        <v>60093</v>
      </c>
      <c r="P33" s="15">
        <f t="shared" si="1"/>
        <v>-73.605565877376762</v>
      </c>
      <c r="Q33" s="66">
        <v>670214</v>
      </c>
      <c r="R33" s="66">
        <v>145557</v>
      </c>
      <c r="S33" s="15">
        <f t="shared" si="2"/>
        <v>-78.282011417248825</v>
      </c>
      <c r="T33" s="63">
        <f>W33-Q33</f>
        <v>99874</v>
      </c>
      <c r="U33" s="63">
        <f>X33-R33</f>
        <v>223700</v>
      </c>
      <c r="V33" s="15">
        <f t="shared" ref="V33:V34" si="192">(U33/T33-1)*100</f>
        <v>123.98221759416863</v>
      </c>
      <c r="W33" s="66">
        <v>770088</v>
      </c>
      <c r="X33" s="66">
        <v>369257</v>
      </c>
      <c r="Y33" s="15">
        <f t="shared" ref="Y33:Y34" si="193">(X33/W33-1)*100</f>
        <v>-52.050025451636692</v>
      </c>
      <c r="Z33" s="63">
        <f>AC33-W33</f>
        <v>615143</v>
      </c>
      <c r="AA33" s="63">
        <f>AD33-X33</f>
        <v>249284</v>
      </c>
      <c r="AB33" s="15">
        <f t="shared" ref="AB33:AB34" si="194">(AA33/Z33-1)*100</f>
        <v>-59.475439044254749</v>
      </c>
      <c r="AC33" s="66">
        <v>1385231</v>
      </c>
      <c r="AD33" s="66">
        <v>618541</v>
      </c>
      <c r="AE33" s="15">
        <f t="shared" ref="AE33:AE34" si="195">(AD33/AC33-1)*100</f>
        <v>-55.34744746544078</v>
      </c>
      <c r="AF33" s="63">
        <f>AI33-AC33</f>
        <v>703396</v>
      </c>
      <c r="AG33" s="63">
        <f>AJ33-AD33</f>
        <v>438077</v>
      </c>
      <c r="AH33" s="15">
        <f t="shared" ref="AH33:AH34" si="196">(AG33/AF33-1)*100</f>
        <v>-37.719719759566452</v>
      </c>
      <c r="AI33" s="66">
        <v>2088627</v>
      </c>
      <c r="AJ33" s="66">
        <v>1056618</v>
      </c>
      <c r="AK33" s="15">
        <f t="shared" ref="AK33:AK34" si="197">(AJ33/AI33-1)*100</f>
        <v>-49.410880927997191</v>
      </c>
      <c r="AL33" s="63">
        <f>AO33-AI33</f>
        <v>671739</v>
      </c>
      <c r="AM33" s="63">
        <f>AP33-AJ33</f>
        <v>402309</v>
      </c>
      <c r="AN33" s="15">
        <f t="shared" ref="AN33:AN34" si="198">(AM33/AL33-1)*100</f>
        <v>-40.109328176568582</v>
      </c>
      <c r="AO33" s="66">
        <v>2760366</v>
      </c>
      <c r="AP33" s="66">
        <v>1458927</v>
      </c>
      <c r="AQ33" s="15">
        <f t="shared" ref="AQ33:AQ34" si="199">(AP33/AO33-1)*100</f>
        <v>-47.147334809949115</v>
      </c>
      <c r="AR33" s="63">
        <f>AU33-AO33</f>
        <v>621034</v>
      </c>
      <c r="AS33" s="63">
        <f>AV33-AP33</f>
        <v>197014</v>
      </c>
      <c r="AT33" s="15">
        <f t="shared" ref="AT33:AT34" si="200">(AS33/AR33-1)*100</f>
        <v>-68.276455073313215</v>
      </c>
      <c r="AU33" s="66">
        <v>3381400</v>
      </c>
      <c r="AV33" s="66">
        <v>1655941</v>
      </c>
      <c r="AW33" s="15">
        <f t="shared" ref="AW33:AW34" si="201">(AV33/AU33-1)*100</f>
        <v>-51.027947004199433</v>
      </c>
      <c r="AX33" s="63">
        <f>BA33-AU33</f>
        <v>219829</v>
      </c>
      <c r="AY33" s="63">
        <f>BB33-AV33</f>
        <v>300386</v>
      </c>
      <c r="AZ33" s="15">
        <f t="shared" ref="AZ33:AZ34" si="202">(AY33/AX33-1)*100</f>
        <v>36.645301575315358</v>
      </c>
      <c r="BA33" s="66">
        <v>3601229</v>
      </c>
      <c r="BB33" s="66">
        <v>1956327</v>
      </c>
      <c r="BC33" s="15">
        <f t="shared" ref="BC33:BC34" si="203">(BB33/BA33-1)*100</f>
        <v>-45.676128899328539</v>
      </c>
      <c r="BD33" s="63">
        <f>BG33-BA33</f>
        <v>430440</v>
      </c>
      <c r="BE33" s="63">
        <f>BH33-BB33</f>
        <v>405194</v>
      </c>
      <c r="BF33" s="15">
        <f t="shared" ref="BF33:BF34" si="204">(BE33/BD33-1)*100</f>
        <v>-5.8651612303689209</v>
      </c>
      <c r="BG33" s="66">
        <v>4031669</v>
      </c>
      <c r="BH33" s="66">
        <v>2361521</v>
      </c>
      <c r="BI33" s="15">
        <f t="shared" ref="BI33:BI34" si="205">(BH33/BG33-1)*100</f>
        <v>-41.425722200904893</v>
      </c>
      <c r="BJ33" s="63">
        <f>BM33-BG33</f>
        <v>142086</v>
      </c>
      <c r="BK33" s="63">
        <f>BN33-BH33</f>
        <v>681751</v>
      </c>
      <c r="BL33" s="15">
        <f t="shared" ref="BL33:BL34" si="206">(BK33/BJ33-1)*100</f>
        <v>379.81574539363487</v>
      </c>
      <c r="BM33" s="66">
        <v>4173755</v>
      </c>
      <c r="BN33" s="66">
        <v>3043272</v>
      </c>
      <c r="BO33" s="15">
        <f t="shared" ref="BO33:BO34" si="207">(BN33/BM33-1)*100</f>
        <v>-27.085514123373322</v>
      </c>
      <c r="BP33" s="63">
        <f>BS33-BM33</f>
        <v>197182</v>
      </c>
      <c r="BQ33" s="63">
        <f>BT33-BN33</f>
        <v>739788</v>
      </c>
      <c r="BR33" s="15">
        <f t="shared" ref="BR33:BR34" si="208">(BQ33/BP33-1)*100</f>
        <v>275.18029029018874</v>
      </c>
      <c r="BS33" s="66">
        <v>4370937</v>
      </c>
      <c r="BT33" s="66">
        <v>3783060</v>
      </c>
      <c r="BU33" s="15">
        <f t="shared" ref="BU33:BU34" si="209">(BT33/BS33-1)*100</f>
        <v>-13.449679096266998</v>
      </c>
      <c r="BV33" s="63">
        <f>BY33-BS33</f>
        <v>334628</v>
      </c>
      <c r="BW33" s="63">
        <f>BZ33-BT33</f>
        <v>241336</v>
      </c>
      <c r="BX33" s="15">
        <f t="shared" ref="BX33:BX34" si="210">(BW33/BV33-1)*100</f>
        <v>-27.879316733805904</v>
      </c>
      <c r="BY33" s="66">
        <v>4705565</v>
      </c>
      <c r="BZ33" s="66">
        <v>4024396</v>
      </c>
      <c r="CA33" s="15">
        <f t="shared" ref="CA33:CA34" si="211">(BZ33/BY33-1)*100</f>
        <v>-14.475817462940155</v>
      </c>
      <c r="CB33" s="108"/>
    </row>
    <row r="34" spans="1:80" s="1" customFormat="1" ht="19.5" customHeight="1">
      <c r="A34" s="154"/>
      <c r="B34" s="115"/>
      <c r="C34" s="33" t="s">
        <v>104</v>
      </c>
      <c r="D34" s="17">
        <v>32024644</v>
      </c>
      <c r="E34" s="17">
        <v>64576480</v>
      </c>
      <c r="F34" s="17">
        <v>100426911</v>
      </c>
      <c r="G34" s="17">
        <v>76415481</v>
      </c>
      <c r="H34" s="17">
        <v>52425079</v>
      </c>
      <c r="I34" s="17">
        <v>46025276</v>
      </c>
      <c r="J34" s="17">
        <v>35435501</v>
      </c>
      <c r="K34" s="17">
        <v>3727772</v>
      </c>
      <c r="L34" s="17">
        <v>420009</v>
      </c>
      <c r="M34" s="18">
        <f t="shared" si="0"/>
        <v>-88.73297508538613</v>
      </c>
      <c r="N34" s="17">
        <f>Q34-K34</f>
        <v>1878567</v>
      </c>
      <c r="O34" s="17">
        <f>R34-L34</f>
        <v>328893</v>
      </c>
      <c r="P34" s="18">
        <f t="shared" si="1"/>
        <v>-82.492346559904433</v>
      </c>
      <c r="Q34" s="17">
        <v>5606339</v>
      </c>
      <c r="R34" s="17">
        <v>748902</v>
      </c>
      <c r="S34" s="18">
        <f t="shared" si="2"/>
        <v>-86.641870925036827</v>
      </c>
      <c r="T34" s="17">
        <f>W34-Q34</f>
        <v>784330</v>
      </c>
      <c r="U34" s="17">
        <f>X34-R34</f>
        <v>1175759</v>
      </c>
      <c r="V34" s="18">
        <f t="shared" si="192"/>
        <v>49.906161947139594</v>
      </c>
      <c r="W34" s="17">
        <v>6390669</v>
      </c>
      <c r="X34" s="17">
        <v>1924661</v>
      </c>
      <c r="Y34" s="18">
        <f t="shared" si="193"/>
        <v>-69.883262613037857</v>
      </c>
      <c r="Z34" s="17">
        <f>AC34-W34</f>
        <v>4823677</v>
      </c>
      <c r="AA34" s="17">
        <f>AD34-X34</f>
        <v>1303340</v>
      </c>
      <c r="AB34" s="18">
        <f t="shared" si="194"/>
        <v>-72.980363320346697</v>
      </c>
      <c r="AC34" s="17">
        <v>11214346</v>
      </c>
      <c r="AD34" s="17">
        <v>3228001</v>
      </c>
      <c r="AE34" s="18">
        <f t="shared" si="195"/>
        <v>-71.215432446974617</v>
      </c>
      <c r="AF34" s="17">
        <f>AI34-AC34</f>
        <v>5651981</v>
      </c>
      <c r="AG34" s="17">
        <f>AJ34-AD34</f>
        <v>2363460</v>
      </c>
      <c r="AH34" s="18">
        <f t="shared" si="196"/>
        <v>-58.1835112326103</v>
      </c>
      <c r="AI34" s="17">
        <v>16866327</v>
      </c>
      <c r="AJ34" s="17">
        <v>5591461</v>
      </c>
      <c r="AK34" s="18">
        <f t="shared" si="197"/>
        <v>-66.848377835909375</v>
      </c>
      <c r="AL34" s="17">
        <f>AO34-AI34</f>
        <v>5532789</v>
      </c>
      <c r="AM34" s="17">
        <f>AP34-AJ34</f>
        <v>2403086</v>
      </c>
      <c r="AN34" s="18">
        <f t="shared" si="198"/>
        <v>-56.566462230892952</v>
      </c>
      <c r="AO34" s="17">
        <v>22399116</v>
      </c>
      <c r="AP34" s="17">
        <v>7994547</v>
      </c>
      <c r="AQ34" s="18">
        <f t="shared" si="199"/>
        <v>-64.308649502060703</v>
      </c>
      <c r="AR34" s="17">
        <f>AU34-AO34</f>
        <v>4641872</v>
      </c>
      <c r="AS34" s="17">
        <f>AV34-AP34</f>
        <v>1232516</v>
      </c>
      <c r="AT34" s="18">
        <f t="shared" si="200"/>
        <v>-73.447867584457299</v>
      </c>
      <c r="AU34" s="17">
        <v>27040988</v>
      </c>
      <c r="AV34" s="17">
        <v>9227063</v>
      </c>
      <c r="AW34" s="18">
        <f t="shared" si="201"/>
        <v>-65.877493085681621</v>
      </c>
      <c r="AX34" s="17">
        <f>BA34-AU34</f>
        <v>1608547</v>
      </c>
      <c r="AY34" s="17">
        <f>BB34-AV34</f>
        <v>1885053</v>
      </c>
      <c r="AZ34" s="18">
        <f t="shared" si="202"/>
        <v>17.189799241178537</v>
      </c>
      <c r="BA34" s="17">
        <v>28649535</v>
      </c>
      <c r="BB34" s="17">
        <v>11112116</v>
      </c>
      <c r="BC34" s="18">
        <f t="shared" si="203"/>
        <v>-61.213625282225351</v>
      </c>
      <c r="BD34" s="17">
        <f>BG34-BA34</f>
        <v>2910621</v>
      </c>
      <c r="BE34" s="17">
        <f>BH34-BB34</f>
        <v>2804117</v>
      </c>
      <c r="BF34" s="18">
        <f t="shared" si="204"/>
        <v>-3.6591504012373988</v>
      </c>
      <c r="BG34" s="17">
        <v>31560156</v>
      </c>
      <c r="BH34" s="17">
        <v>13916233</v>
      </c>
      <c r="BI34" s="18">
        <f t="shared" si="205"/>
        <v>-55.905690073268332</v>
      </c>
      <c r="BJ34" s="17">
        <f>BM34-BG34</f>
        <v>881945</v>
      </c>
      <c r="BK34" s="17">
        <f>BN34-BH34</f>
        <v>4912065</v>
      </c>
      <c r="BL34" s="18">
        <f t="shared" si="206"/>
        <v>456.9582003412911</v>
      </c>
      <c r="BM34" s="17">
        <v>32442101</v>
      </c>
      <c r="BN34" s="17">
        <v>18828298</v>
      </c>
      <c r="BO34" s="18">
        <f t="shared" si="207"/>
        <v>-41.963382704467875</v>
      </c>
      <c r="BP34" s="17">
        <f>BS34-BM34</f>
        <v>1159658</v>
      </c>
      <c r="BQ34" s="17">
        <f>BT34-BN34</f>
        <v>5471225</v>
      </c>
      <c r="BR34" s="18">
        <f t="shared" si="208"/>
        <v>371.79642618772084</v>
      </c>
      <c r="BS34" s="17">
        <v>33601759</v>
      </c>
      <c r="BT34" s="17">
        <v>24299523</v>
      </c>
      <c r="BU34" s="18">
        <f t="shared" si="209"/>
        <v>-27.683776911797985</v>
      </c>
      <c r="BV34" s="17">
        <f>BY34-BS34</f>
        <v>1833742</v>
      </c>
      <c r="BW34" s="17">
        <f>BZ34-BT34</f>
        <v>1696142</v>
      </c>
      <c r="BX34" s="18">
        <f t="shared" si="210"/>
        <v>-7.5037818842563446</v>
      </c>
      <c r="BY34" s="17">
        <v>35435501</v>
      </c>
      <c r="BZ34" s="17">
        <v>25995665</v>
      </c>
      <c r="CA34" s="18">
        <f t="shared" si="211"/>
        <v>-26.639487896615321</v>
      </c>
      <c r="CB34" s="108"/>
    </row>
    <row r="35" spans="1:80" s="1" customFormat="1" ht="19.5" customHeight="1">
      <c r="A35" s="155"/>
      <c r="B35" s="116"/>
      <c r="C35" s="93" t="s">
        <v>105</v>
      </c>
      <c r="D35" s="64">
        <f t="shared" ref="D35:L35" si="212">D34/D33</f>
        <v>5.1947015239744827</v>
      </c>
      <c r="E35" s="64">
        <f t="shared" si="212"/>
        <v>8.4135107658549195</v>
      </c>
      <c r="F35" s="64">
        <f t="shared" si="212"/>
        <v>14.520150998021798</v>
      </c>
      <c r="G35" s="64">
        <f t="shared" si="212"/>
        <v>12.249250767026055</v>
      </c>
      <c r="H35" s="64">
        <f>H34/H33</f>
        <v>9.8293601279005482</v>
      </c>
      <c r="I35" s="64">
        <f>I34/I33</f>
        <v>9.086600459095143</v>
      </c>
      <c r="J35" s="64">
        <f>J34/J33</f>
        <v>7.5305518040872883</v>
      </c>
      <c r="K35" s="64">
        <f t="shared" si="212"/>
        <v>8.4235630145003508</v>
      </c>
      <c r="L35" s="64">
        <f t="shared" si="212"/>
        <v>4.914455209210896</v>
      </c>
      <c r="M35" s="65"/>
      <c r="N35" s="64">
        <f>N34/N33</f>
        <v>8.2511628519850841</v>
      </c>
      <c r="O35" s="64">
        <f>O34/O33</f>
        <v>5.4730667465428589</v>
      </c>
      <c r="P35" s="65"/>
      <c r="Q35" s="64">
        <f>Q34/Q33</f>
        <v>8.364998343812573</v>
      </c>
      <c r="R35" s="64">
        <f>R34/R33</f>
        <v>5.1450771862569304</v>
      </c>
      <c r="S35" s="65"/>
      <c r="T35" s="64">
        <f>T34/T33</f>
        <v>7.8531950257324228</v>
      </c>
      <c r="U35" s="64">
        <f>U34/U33</f>
        <v>5.2559633437639697</v>
      </c>
      <c r="V35" s="65"/>
      <c r="W35" s="64">
        <f>W34/W33</f>
        <v>8.2986217159597349</v>
      </c>
      <c r="X35" s="64">
        <f>X34/X33</f>
        <v>5.2122532545083775</v>
      </c>
      <c r="Y35" s="65"/>
      <c r="Z35" s="64">
        <f>Z34/Z33</f>
        <v>7.8415539151059184</v>
      </c>
      <c r="AA35" s="64">
        <f>AA34/AA33</f>
        <v>5.2283339484282987</v>
      </c>
      <c r="AB35" s="65"/>
      <c r="AC35" s="64">
        <f>AC34/AC33</f>
        <v>8.095650472737038</v>
      </c>
      <c r="AD35" s="64">
        <f>AD34/AD33</f>
        <v>5.218734085533538</v>
      </c>
      <c r="AE35" s="65"/>
      <c r="AF35" s="64">
        <f>AF34/AF33</f>
        <v>8.0352760038442064</v>
      </c>
      <c r="AG35" s="64">
        <f>AG34/AG33</f>
        <v>5.3950789473083498</v>
      </c>
      <c r="AH35" s="65"/>
      <c r="AI35" s="64">
        <f>AI34/AI33</f>
        <v>8.0753179002282369</v>
      </c>
      <c r="AJ35" s="64">
        <f>AJ34/AJ33</f>
        <v>5.2918471954859747</v>
      </c>
      <c r="AK35" s="65"/>
      <c r="AL35" s="64">
        <f>AL34/AL33</f>
        <v>8.236515968255528</v>
      </c>
      <c r="AM35" s="64">
        <f>AM34/AM33</f>
        <v>5.973234503826661</v>
      </c>
      <c r="AN35" s="65"/>
      <c r="AO35" s="64">
        <f>AO34/AO33</f>
        <v>8.114545679812025</v>
      </c>
      <c r="AP35" s="64">
        <f>AP34/AP33</f>
        <v>5.4797443600673645</v>
      </c>
      <c r="AQ35" s="65"/>
      <c r="AR35" s="64">
        <f>AR34/AR33</f>
        <v>7.4744249107134229</v>
      </c>
      <c r="AS35" s="64">
        <f>AS34/AS33</f>
        <v>6.2559818083994028</v>
      </c>
      <c r="AT35" s="65"/>
      <c r="AU35" s="64">
        <f>AU34/AU33</f>
        <v>7.996979949133495</v>
      </c>
      <c r="AV35" s="64">
        <f>AV34/AV33</f>
        <v>5.5720964696205968</v>
      </c>
      <c r="AW35" s="65"/>
      <c r="AX35" s="64">
        <f>AX34/AX33</f>
        <v>7.3172647830813951</v>
      </c>
      <c r="AY35" s="64">
        <f>AY34/AY33</f>
        <v>6.275435606186706</v>
      </c>
      <c r="AZ35" s="65"/>
      <c r="BA35" s="64">
        <f>BA34/BA33</f>
        <v>7.9554882513719622</v>
      </c>
      <c r="BB35" s="64">
        <f>BB34/BB33</f>
        <v>5.6800913139776732</v>
      </c>
      <c r="BC35" s="65"/>
      <c r="BD35" s="64">
        <f>BD34/BD33</f>
        <v>6.7619668246445501</v>
      </c>
      <c r="BE35" s="64">
        <f>BE34/BE33</f>
        <v>6.9204307072661493</v>
      </c>
      <c r="BF35" s="65"/>
      <c r="BG35" s="64">
        <f>BG34/BG33</f>
        <v>7.8280622739614785</v>
      </c>
      <c r="BH35" s="64">
        <f>BH34/BH33</f>
        <v>5.8929109671266948</v>
      </c>
      <c r="BI35" s="65"/>
      <c r="BJ35" s="64">
        <f>BJ34/BJ33</f>
        <v>6.2071210393705218</v>
      </c>
      <c r="BK35" s="64">
        <f>BK34/BK33</f>
        <v>7.2050719397551308</v>
      </c>
      <c r="BL35" s="65"/>
      <c r="BM35" s="64">
        <f>BM34/BM33</f>
        <v>7.7728810148175924</v>
      </c>
      <c r="BN35" s="64">
        <f>BN34/BN33</f>
        <v>6.186860063773465</v>
      </c>
      <c r="BO35" s="65"/>
      <c r="BP35" s="64">
        <f>BP34/BP33</f>
        <v>5.8811554807233923</v>
      </c>
      <c r="BQ35" s="64">
        <f>BQ34/BQ33</f>
        <v>7.3956660556808167</v>
      </c>
      <c r="BR35" s="65"/>
      <c r="BS35" s="64">
        <f>BS34/BS33</f>
        <v>7.6875413669883601</v>
      </c>
      <c r="BT35" s="64">
        <f>BT34/BT33</f>
        <v>6.423245467954513</v>
      </c>
      <c r="BU35" s="65"/>
      <c r="BV35" s="64">
        <f>BV34/BV33</f>
        <v>5.4799419056385004</v>
      </c>
      <c r="BW35" s="64">
        <f>BW34/BW33</f>
        <v>7.028135048231511</v>
      </c>
      <c r="BX35" s="65"/>
      <c r="BY35" s="64">
        <f>BY34/BY33</f>
        <v>7.5305518040872883</v>
      </c>
      <c r="BZ35" s="64">
        <f>BZ34/BZ33</f>
        <v>6.4595196397173638</v>
      </c>
      <c r="CA35" s="65"/>
      <c r="CB35" s="108"/>
    </row>
    <row r="36" spans="1:80" s="1" customFormat="1" ht="19.5" customHeight="1">
      <c r="A36" s="164" t="s">
        <v>169</v>
      </c>
      <c r="B36" s="133">
        <v>8111</v>
      </c>
      <c r="C36" s="32" t="s">
        <v>42</v>
      </c>
      <c r="D36" s="66">
        <v>57682560</v>
      </c>
      <c r="E36" s="66">
        <v>92097886</v>
      </c>
      <c r="F36" s="66">
        <v>114985937</v>
      </c>
      <c r="G36" s="66">
        <v>68007409</v>
      </c>
      <c r="H36" s="66">
        <v>49164334</v>
      </c>
      <c r="I36" s="66">
        <v>72150745</v>
      </c>
      <c r="J36" s="66">
        <v>84488703</v>
      </c>
      <c r="K36" s="66">
        <v>9020854</v>
      </c>
      <c r="L36" s="66">
        <v>5705096</v>
      </c>
      <c r="M36" s="15">
        <f t="shared" si="0"/>
        <v>-36.756586460661048</v>
      </c>
      <c r="N36" s="63">
        <f>Q36-K36</f>
        <v>8126185</v>
      </c>
      <c r="O36" s="63">
        <f>R36-L36</f>
        <v>5348830</v>
      </c>
      <c r="P36" s="15">
        <f t="shared" si="1"/>
        <v>-34.177846061835901</v>
      </c>
      <c r="Q36" s="66">
        <v>17147039</v>
      </c>
      <c r="R36" s="66">
        <v>11053926</v>
      </c>
      <c r="S36" s="15">
        <f t="shared" si="2"/>
        <v>-35.534490823750971</v>
      </c>
      <c r="T36" s="63">
        <f>W36-Q36</f>
        <v>5946634</v>
      </c>
      <c r="U36" s="63">
        <f>X36-R36</f>
        <v>7537518</v>
      </c>
      <c r="V36" s="15">
        <f t="shared" ref="V36:V37" si="213">(U36/T36-1)*100</f>
        <v>26.752680592079493</v>
      </c>
      <c r="W36" s="66">
        <v>23093673</v>
      </c>
      <c r="X36" s="66">
        <v>18591444</v>
      </c>
      <c r="Y36" s="15">
        <f t="shared" ref="Y36:Y37" si="214">(X36/W36-1)*100</f>
        <v>-19.495508575011002</v>
      </c>
      <c r="Z36" s="63">
        <f>AC36-W36</f>
        <v>7008211</v>
      </c>
      <c r="AA36" s="63">
        <f>AD36-X36</f>
        <v>8197840</v>
      </c>
      <c r="AB36" s="15">
        <f t="shared" ref="AB36:AB37" si="215">(AA36/Z36-1)*100</f>
        <v>16.974788573003874</v>
      </c>
      <c r="AC36" s="66">
        <v>30101884</v>
      </c>
      <c r="AD36" s="66">
        <v>26789284</v>
      </c>
      <c r="AE36" s="15">
        <f t="shared" ref="AE36:AE37" si="216">(AD36/AC36-1)*100</f>
        <v>-11.004626820035579</v>
      </c>
      <c r="AF36" s="63">
        <f>AI36-AC36</f>
        <v>4478678</v>
      </c>
      <c r="AG36" s="63">
        <f>AJ36-AD36</f>
        <v>6151350</v>
      </c>
      <c r="AH36" s="15">
        <f t="shared" ref="AH36:AH37" si="217">(AG36/AF36-1)*100</f>
        <v>37.347449403596336</v>
      </c>
      <c r="AI36" s="66">
        <v>34580562</v>
      </c>
      <c r="AJ36" s="66">
        <v>32940634</v>
      </c>
      <c r="AK36" s="15">
        <f t="shared" ref="AK36:AK37" si="218">(AJ36/AI36-1)*100</f>
        <v>-4.7423405090987192</v>
      </c>
      <c r="AL36" s="63">
        <f>AO36-AI36</f>
        <v>5895799</v>
      </c>
      <c r="AM36" s="63">
        <f>AP36-AJ36</f>
        <v>9324090</v>
      </c>
      <c r="AN36" s="15">
        <f t="shared" ref="AN36:AN37" si="219">(AM36/AL36-1)*100</f>
        <v>58.148030487470812</v>
      </c>
      <c r="AO36" s="66">
        <v>40476361</v>
      </c>
      <c r="AP36" s="66">
        <v>42264724</v>
      </c>
      <c r="AQ36" s="15">
        <f t="shared" ref="AQ36:AQ37" si="220">(AP36/AO36-1)*100</f>
        <v>4.4182899742395421</v>
      </c>
      <c r="AR36" s="63">
        <f>AU36-AO36</f>
        <v>7327587</v>
      </c>
      <c r="AS36" s="63">
        <f>AV36-AP36</f>
        <v>5840513</v>
      </c>
      <c r="AT36" s="15">
        <f t="shared" ref="AT36:AT37" si="221">(AS36/AR36-1)*100</f>
        <v>-20.294184156394191</v>
      </c>
      <c r="AU36" s="66">
        <v>47803948</v>
      </c>
      <c r="AV36" s="66">
        <v>48105237</v>
      </c>
      <c r="AW36" s="15">
        <f t="shared" ref="AW36:AW37" si="222">(AV36/AU36-1)*100</f>
        <v>0.63025965972518527</v>
      </c>
      <c r="AX36" s="63">
        <f>BA36-AU36</f>
        <v>9123539</v>
      </c>
      <c r="AY36" s="63">
        <f>BB36-AV36</f>
        <v>7164579</v>
      </c>
      <c r="AZ36" s="15">
        <f t="shared" ref="AZ36:AZ37" si="223">(AY36/AX36-1)*100</f>
        <v>-21.471492586374652</v>
      </c>
      <c r="BA36" s="66">
        <v>56927487</v>
      </c>
      <c r="BB36" s="66">
        <v>55269816</v>
      </c>
      <c r="BC36" s="15">
        <f t="shared" ref="BC36:BC37" si="224">(BB36/BA36-1)*100</f>
        <v>-2.911899132311957</v>
      </c>
      <c r="BD36" s="63">
        <f>BG36-BA36</f>
        <v>6407392</v>
      </c>
      <c r="BE36" s="63">
        <f>BH36-BB36</f>
        <v>6381648</v>
      </c>
      <c r="BF36" s="15">
        <f t="shared" ref="BF36:BF37" si="225">(BE36/BD36-1)*100</f>
        <v>-0.40178593724248257</v>
      </c>
      <c r="BG36" s="66">
        <v>63334879</v>
      </c>
      <c r="BH36" s="66">
        <v>61651464</v>
      </c>
      <c r="BI36" s="15">
        <f t="shared" ref="BI36:BI37" si="226">(BH36/BG36-1)*100</f>
        <v>-2.6579588160261625</v>
      </c>
      <c r="BJ36" s="63">
        <f>BM36-BG36</f>
        <v>8460779</v>
      </c>
      <c r="BK36" s="63">
        <f>BN36-BH36</f>
        <v>8428135</v>
      </c>
      <c r="BL36" s="15">
        <f t="shared" ref="BL36:BL37" si="227">(BK36/BJ36-1)*100</f>
        <v>-0.38582735703177606</v>
      </c>
      <c r="BM36" s="66">
        <v>71795658</v>
      </c>
      <c r="BN36" s="66">
        <v>70079599</v>
      </c>
      <c r="BO36" s="15">
        <f t="shared" ref="BO36:BO37" si="228">(BN36/BM36-1)*100</f>
        <v>-2.3901988613294733</v>
      </c>
      <c r="BP36" s="63">
        <f>BS36-BM36</f>
        <v>6721520</v>
      </c>
      <c r="BQ36" s="63">
        <f>BT36-BN36</f>
        <v>8411333</v>
      </c>
      <c r="BR36" s="15">
        <f t="shared" ref="BR36:BR37" si="229">(BQ36/BP36-1)*100</f>
        <v>25.140340280174733</v>
      </c>
      <c r="BS36" s="66">
        <v>78517178</v>
      </c>
      <c r="BT36" s="66">
        <v>78490932</v>
      </c>
      <c r="BU36" s="15">
        <f t="shared" ref="BU36:BU37" si="230">(BT36/BS36-1)*100</f>
        <v>-3.3427080122516717E-2</v>
      </c>
      <c r="BV36" s="63">
        <f>BY36-BS36</f>
        <v>5971525</v>
      </c>
      <c r="BW36" s="63">
        <f>BZ36-BT36</f>
        <v>8422895</v>
      </c>
      <c r="BX36" s="15">
        <f t="shared" ref="BX36:BX37" si="231">(BW36/BV36-1)*100</f>
        <v>41.050987812995857</v>
      </c>
      <c r="BY36" s="66">
        <v>84488703</v>
      </c>
      <c r="BZ36" s="66">
        <v>86913827</v>
      </c>
      <c r="CA36" s="15">
        <f t="shared" ref="CA36:CA37" si="232">(BZ36/BY36-1)*100</f>
        <v>2.8703529748823398</v>
      </c>
      <c r="CB36" s="108"/>
    </row>
    <row r="37" spans="1:80" s="1" customFormat="1" ht="19.5" customHeight="1">
      <c r="A37" s="154"/>
      <c r="B37" s="134"/>
      <c r="C37" s="33" t="s">
        <v>104</v>
      </c>
      <c r="D37" s="17">
        <v>145337542</v>
      </c>
      <c r="E37" s="17">
        <v>251708289</v>
      </c>
      <c r="F37" s="17">
        <v>381137951</v>
      </c>
      <c r="G37" s="17">
        <v>177558592</v>
      </c>
      <c r="H37" s="17">
        <v>106461892</v>
      </c>
      <c r="I37" s="17">
        <v>155062264</v>
      </c>
      <c r="J37" s="17">
        <v>151685311</v>
      </c>
      <c r="K37" s="17">
        <v>18627845</v>
      </c>
      <c r="L37" s="17">
        <v>11579202</v>
      </c>
      <c r="M37" s="18">
        <f t="shared" si="0"/>
        <v>-37.839283073270146</v>
      </c>
      <c r="N37" s="17">
        <f>Q37-K37</f>
        <v>16661066</v>
      </c>
      <c r="O37" s="17">
        <f>R37-L37</f>
        <v>8680754</v>
      </c>
      <c r="P37" s="18">
        <f t="shared" si="1"/>
        <v>-47.8979676330434</v>
      </c>
      <c r="Q37" s="17">
        <v>35288911</v>
      </c>
      <c r="R37" s="17">
        <v>20259956</v>
      </c>
      <c r="S37" s="18">
        <f t="shared" si="2"/>
        <v>-42.588321866889011</v>
      </c>
      <c r="T37" s="17">
        <f>W37-Q37</f>
        <v>11989709</v>
      </c>
      <c r="U37" s="17">
        <f>X37-R37</f>
        <v>12150154</v>
      </c>
      <c r="V37" s="18">
        <f t="shared" si="213"/>
        <v>1.338189275486168</v>
      </c>
      <c r="W37" s="17">
        <v>47278620</v>
      </c>
      <c r="X37" s="17">
        <v>32410110</v>
      </c>
      <c r="Y37" s="18">
        <f t="shared" si="214"/>
        <v>-31.448697106641433</v>
      </c>
      <c r="Z37" s="17">
        <f>AC37-W37</f>
        <v>14188930</v>
      </c>
      <c r="AA37" s="17">
        <f>AD37-X37</f>
        <v>14112681</v>
      </c>
      <c r="AB37" s="18">
        <f t="shared" si="215"/>
        <v>-0.53738372097120735</v>
      </c>
      <c r="AC37" s="17">
        <v>61467550</v>
      </c>
      <c r="AD37" s="17">
        <v>46522791</v>
      </c>
      <c r="AE37" s="18">
        <f t="shared" si="216"/>
        <v>-24.313249836702454</v>
      </c>
      <c r="AF37" s="17">
        <f>AI37-AC37</f>
        <v>8656400</v>
      </c>
      <c r="AG37" s="17">
        <f>AJ37-AD37</f>
        <v>10220028</v>
      </c>
      <c r="AH37" s="18">
        <f t="shared" si="217"/>
        <v>18.063259553625066</v>
      </c>
      <c r="AI37" s="17">
        <v>70123950</v>
      </c>
      <c r="AJ37" s="17">
        <v>56742819</v>
      </c>
      <c r="AK37" s="18">
        <f t="shared" si="218"/>
        <v>-19.082112459437894</v>
      </c>
      <c r="AL37" s="17">
        <f>AO37-AI37</f>
        <v>10346737</v>
      </c>
      <c r="AM37" s="17">
        <f>AP37-AJ37</f>
        <v>14881421</v>
      </c>
      <c r="AN37" s="18">
        <f t="shared" si="219"/>
        <v>43.827189190176583</v>
      </c>
      <c r="AO37" s="17">
        <v>80470687</v>
      </c>
      <c r="AP37" s="17">
        <v>71624240</v>
      </c>
      <c r="AQ37" s="18">
        <f t="shared" si="220"/>
        <v>-10.993378247162223</v>
      </c>
      <c r="AR37" s="17">
        <f>AU37-AO37</f>
        <v>12890178</v>
      </c>
      <c r="AS37" s="17">
        <f>AV37-AP37</f>
        <v>9463852</v>
      </c>
      <c r="AT37" s="18">
        <f t="shared" si="221"/>
        <v>-26.580905244287546</v>
      </c>
      <c r="AU37" s="17">
        <v>93360865</v>
      </c>
      <c r="AV37" s="17">
        <v>81088092</v>
      </c>
      <c r="AW37" s="18">
        <f t="shared" si="222"/>
        <v>-13.145521948623761</v>
      </c>
      <c r="AX37" s="17">
        <f>BA37-AU37</f>
        <v>15569500</v>
      </c>
      <c r="AY37" s="17">
        <f>BB37-AV37</f>
        <v>11745293</v>
      </c>
      <c r="AZ37" s="18">
        <f t="shared" si="223"/>
        <v>-24.562169626513374</v>
      </c>
      <c r="BA37" s="17">
        <v>108930365</v>
      </c>
      <c r="BB37" s="17">
        <v>92833385</v>
      </c>
      <c r="BC37" s="18">
        <f t="shared" si="224"/>
        <v>-14.777312092913675</v>
      </c>
      <c r="BD37" s="17">
        <f>BG37-BA37</f>
        <v>10440276</v>
      </c>
      <c r="BE37" s="17">
        <f>BH37-BB37</f>
        <v>10688657</v>
      </c>
      <c r="BF37" s="18">
        <f t="shared" si="225"/>
        <v>2.3790654576564929</v>
      </c>
      <c r="BG37" s="17">
        <v>119370641</v>
      </c>
      <c r="BH37" s="17">
        <v>103522042</v>
      </c>
      <c r="BI37" s="18">
        <f t="shared" si="226"/>
        <v>-13.276798103144982</v>
      </c>
      <c r="BJ37" s="17">
        <f>BM37-BG37</f>
        <v>13300288</v>
      </c>
      <c r="BK37" s="17">
        <f>BN37-BH37</f>
        <v>14516545</v>
      </c>
      <c r="BL37" s="18">
        <f t="shared" si="227"/>
        <v>9.1445914554632246</v>
      </c>
      <c r="BM37" s="17">
        <v>132670929</v>
      </c>
      <c r="BN37" s="17">
        <v>118038587</v>
      </c>
      <c r="BO37" s="18">
        <f t="shared" si="228"/>
        <v>-11.029049174744232</v>
      </c>
      <c r="BP37" s="17">
        <f>BS37-BM37</f>
        <v>10344836</v>
      </c>
      <c r="BQ37" s="17">
        <f>BT37-BN37</f>
        <v>15015794</v>
      </c>
      <c r="BR37" s="18">
        <f t="shared" si="229"/>
        <v>45.152557275920088</v>
      </c>
      <c r="BS37" s="17">
        <v>143015765</v>
      </c>
      <c r="BT37" s="17">
        <v>133054381</v>
      </c>
      <c r="BU37" s="18">
        <f t="shared" si="230"/>
        <v>-6.9652349165841958</v>
      </c>
      <c r="BV37" s="17">
        <f>BY37-BS37</f>
        <v>8669546</v>
      </c>
      <c r="BW37" s="17">
        <f>BZ37-BT37</f>
        <v>17216359</v>
      </c>
      <c r="BX37" s="18">
        <f t="shared" si="231"/>
        <v>98.584320332344959</v>
      </c>
      <c r="BY37" s="17">
        <v>151685311</v>
      </c>
      <c r="BZ37" s="17">
        <v>150270740</v>
      </c>
      <c r="CA37" s="18">
        <f t="shared" si="232"/>
        <v>-0.93256953535862941</v>
      </c>
      <c r="CB37" s="108"/>
    </row>
    <row r="38" spans="1:80" s="1" customFormat="1" ht="19.5" customHeight="1">
      <c r="A38" s="155"/>
      <c r="B38" s="135"/>
      <c r="C38" s="93" t="s">
        <v>105</v>
      </c>
      <c r="D38" s="64">
        <f t="shared" ref="D38:L38" si="233">D37/D36</f>
        <v>2.5196097746008497</v>
      </c>
      <c r="E38" s="64">
        <f t="shared" si="233"/>
        <v>2.7330517553899121</v>
      </c>
      <c r="F38" s="64">
        <f t="shared" si="233"/>
        <v>3.3146483904375192</v>
      </c>
      <c r="G38" s="64">
        <f t="shared" si="233"/>
        <v>2.6108712949202344</v>
      </c>
      <c r="H38" s="64">
        <f>H37/H36</f>
        <v>2.1654293537262195</v>
      </c>
      <c r="I38" s="64">
        <f>I37/I36</f>
        <v>2.1491429367777144</v>
      </c>
      <c r="J38" s="64">
        <f>J37/J36</f>
        <v>1.795332460009476</v>
      </c>
      <c r="K38" s="64">
        <f t="shared" si="233"/>
        <v>2.064975777237942</v>
      </c>
      <c r="L38" s="64">
        <f t="shared" si="233"/>
        <v>2.0296243919471295</v>
      </c>
      <c r="M38" s="65"/>
      <c r="N38" s="64">
        <f>N37/N36</f>
        <v>2.0502937110095329</v>
      </c>
      <c r="O38" s="64">
        <f>O37/O36</f>
        <v>1.6229257613347219</v>
      </c>
      <c r="P38" s="65"/>
      <c r="Q38" s="64">
        <f>Q37/Q36</f>
        <v>2.0580177720479904</v>
      </c>
      <c r="R38" s="64">
        <f>R37/R36</f>
        <v>1.8328289876375146</v>
      </c>
      <c r="S38" s="65"/>
      <c r="T38" s="64">
        <f>T37/T36</f>
        <v>2.0162177460391879</v>
      </c>
      <c r="U38" s="64">
        <f>U37/U36</f>
        <v>1.6119568802356425</v>
      </c>
      <c r="V38" s="65"/>
      <c r="W38" s="64">
        <f>W37/W36</f>
        <v>2.0472542414539254</v>
      </c>
      <c r="X38" s="64">
        <f>X37/X36</f>
        <v>1.7432809414911505</v>
      </c>
      <c r="Y38" s="65"/>
      <c r="Z38" s="64">
        <f>Z37/Z36</f>
        <v>2.0246151264566663</v>
      </c>
      <c r="AA38" s="64">
        <f>AA37/AA36</f>
        <v>1.7215121300244942</v>
      </c>
      <c r="AB38" s="65"/>
      <c r="AC38" s="64">
        <f>AC37/AC36</f>
        <v>2.0419834851532879</v>
      </c>
      <c r="AD38" s="64">
        <f>AD37/AD36</f>
        <v>1.7366194258868584</v>
      </c>
      <c r="AE38" s="65"/>
      <c r="AF38" s="64">
        <f>AF37/AF36</f>
        <v>1.9328024921639824</v>
      </c>
      <c r="AG38" s="64">
        <f>AG37/AG36</f>
        <v>1.6614284669218953</v>
      </c>
      <c r="AH38" s="65"/>
      <c r="AI38" s="64">
        <f>AI37/AI36</f>
        <v>2.0278429830029947</v>
      </c>
      <c r="AJ38" s="64">
        <f>AJ37/AJ36</f>
        <v>1.7225782296722036</v>
      </c>
      <c r="AK38" s="65"/>
      <c r="AL38" s="64">
        <f>AL37/AL36</f>
        <v>1.7549338096498881</v>
      </c>
      <c r="AM38" s="64">
        <f>AM37/AM36</f>
        <v>1.5960185926991266</v>
      </c>
      <c r="AN38" s="65"/>
      <c r="AO38" s="64">
        <f>AO37/AO36</f>
        <v>1.9880909501721264</v>
      </c>
      <c r="AP38" s="64">
        <f>AP37/AP36</f>
        <v>1.69465770082871</v>
      </c>
      <c r="AQ38" s="65"/>
      <c r="AR38" s="64">
        <f>AR37/AR36</f>
        <v>1.7591299837176959</v>
      </c>
      <c r="AS38" s="64">
        <f>AS37/AS36</f>
        <v>1.6203802645418306</v>
      </c>
      <c r="AT38" s="65"/>
      <c r="AU38" s="64">
        <f>AU37/AU36</f>
        <v>1.9529948656123548</v>
      </c>
      <c r="AV38" s="64">
        <f>AV37/AV36</f>
        <v>1.6856395905501931</v>
      </c>
      <c r="AW38" s="65"/>
      <c r="AX38" s="64">
        <f>AX37/AX36</f>
        <v>1.7065198055272193</v>
      </c>
      <c r="AY38" s="64">
        <f>AY37/AY36</f>
        <v>1.6393556411339731</v>
      </c>
      <c r="AZ38" s="65"/>
      <c r="BA38" s="64">
        <f>BA37/BA36</f>
        <v>1.9134933006967267</v>
      </c>
      <c r="BB38" s="64">
        <f>BB37/BB36</f>
        <v>1.6796398417537703</v>
      </c>
      <c r="BC38" s="65"/>
      <c r="BD38" s="64">
        <f>BD37/BD36</f>
        <v>1.6294111551158412</v>
      </c>
      <c r="BE38" s="64">
        <f>BE37/BE36</f>
        <v>1.6749054476210534</v>
      </c>
      <c r="BF38" s="65"/>
      <c r="BG38" s="64">
        <f>BG37/BG36</f>
        <v>1.8847535968293236</v>
      </c>
      <c r="BH38" s="64">
        <f>BH37/BH36</f>
        <v>1.6791497765568064</v>
      </c>
      <c r="BI38" s="65"/>
      <c r="BJ38" s="64">
        <f>BJ37/BJ36</f>
        <v>1.5719933117269698</v>
      </c>
      <c r="BK38" s="64">
        <f>BK37/BK36</f>
        <v>1.7223911339815985</v>
      </c>
      <c r="BL38" s="65"/>
      <c r="BM38" s="64">
        <f>BM37/BM36</f>
        <v>1.8478962752872883</v>
      </c>
      <c r="BN38" s="64">
        <f>BN37/BN36</f>
        <v>1.6843502058280899</v>
      </c>
      <c r="BO38" s="65"/>
      <c r="BP38" s="64">
        <f>BP37/BP36</f>
        <v>1.5390619978814315</v>
      </c>
      <c r="BQ38" s="64">
        <f>BQ37/BQ36</f>
        <v>1.7851860103505592</v>
      </c>
      <c r="BR38" s="65"/>
      <c r="BS38" s="64">
        <f>BS37/BS36</f>
        <v>1.8214582928591754</v>
      </c>
      <c r="BT38" s="64">
        <f>BT37/BT36</f>
        <v>1.6951560850366767</v>
      </c>
      <c r="BU38" s="65"/>
      <c r="BV38" s="64">
        <f>BV37/BV36</f>
        <v>1.4518144025186197</v>
      </c>
      <c r="BW38" s="64">
        <f>BW37/BW36</f>
        <v>2.0439954433719048</v>
      </c>
      <c r="BX38" s="65"/>
      <c r="BY38" s="64">
        <f>BY37/BY36</f>
        <v>1.795332460009476</v>
      </c>
      <c r="BZ38" s="64">
        <f>BZ37/BZ36</f>
        <v>1.7289624123903784</v>
      </c>
      <c r="CA38" s="65"/>
      <c r="CB38" s="108"/>
    </row>
    <row r="39" spans="1:80" s="1" customFormat="1" ht="19.5" customHeight="1">
      <c r="A39" s="164" t="s">
        <v>170</v>
      </c>
      <c r="B39" s="133" t="s">
        <v>128</v>
      </c>
      <c r="C39" s="32" t="s">
        <v>42</v>
      </c>
      <c r="D39" s="66">
        <v>3665</v>
      </c>
      <c r="E39" s="66">
        <v>391</v>
      </c>
      <c r="F39" s="66">
        <v>470</v>
      </c>
      <c r="G39" s="66">
        <v>269</v>
      </c>
      <c r="H39" s="66">
        <f>1+281</f>
        <v>282</v>
      </c>
      <c r="I39" s="66">
        <v>331</v>
      </c>
      <c r="J39" s="66">
        <v>312</v>
      </c>
      <c r="K39" s="66">
        <v>23</v>
      </c>
      <c r="L39" s="66">
        <v>22</v>
      </c>
      <c r="M39" s="15">
        <f t="shared" si="0"/>
        <v>-4.3478260869565188</v>
      </c>
      <c r="N39" s="63">
        <f>Q39-K39</f>
        <v>26</v>
      </c>
      <c r="O39" s="63">
        <f>R39-L39</f>
        <v>17</v>
      </c>
      <c r="P39" s="15">
        <f t="shared" si="1"/>
        <v>-34.615384615384613</v>
      </c>
      <c r="Q39" s="66">
        <v>49</v>
      </c>
      <c r="R39" s="66">
        <v>39</v>
      </c>
      <c r="S39" s="15">
        <f t="shared" si="2"/>
        <v>-20.408163265306122</v>
      </c>
      <c r="T39" s="63">
        <f>W39-Q39</f>
        <v>17</v>
      </c>
      <c r="U39" s="63">
        <f>X39-R39</f>
        <v>23</v>
      </c>
      <c r="V39" s="15">
        <f t="shared" ref="V39:V40" si="234">(U39/T39-1)*100</f>
        <v>35.294117647058833</v>
      </c>
      <c r="W39" s="66">
        <v>66</v>
      </c>
      <c r="X39" s="66">
        <v>62</v>
      </c>
      <c r="Y39" s="15">
        <f t="shared" ref="Y39:Y40" si="235">(X39/W39-1)*100</f>
        <v>-6.0606060606060552</v>
      </c>
      <c r="Z39" s="63">
        <f>AC39-W39</f>
        <v>65</v>
      </c>
      <c r="AA39" s="63">
        <f>AD39-X39</f>
        <v>25</v>
      </c>
      <c r="AB39" s="15">
        <f t="shared" ref="AB39:AB40" si="236">(AA39/Z39-1)*100</f>
        <v>-61.53846153846154</v>
      </c>
      <c r="AC39" s="66">
        <v>131</v>
      </c>
      <c r="AD39" s="66">
        <v>87</v>
      </c>
      <c r="AE39" s="15">
        <f t="shared" ref="AE39:AE40" si="237">(AD39/AC39-1)*100</f>
        <v>-33.587786259541986</v>
      </c>
      <c r="AF39" s="63">
        <f>AI39-AC39</f>
        <v>7</v>
      </c>
      <c r="AG39" s="63">
        <f>AJ39-AD39</f>
        <v>22</v>
      </c>
      <c r="AH39" s="15">
        <f t="shared" ref="AH39:AH40" si="238">(AG39/AF39-1)*100</f>
        <v>214.28571428571428</v>
      </c>
      <c r="AI39" s="66">
        <v>138</v>
      </c>
      <c r="AJ39" s="66">
        <v>109</v>
      </c>
      <c r="AK39" s="15">
        <f t="shared" ref="AK39:AK40" si="239">(AJ39/AI39-1)*100</f>
        <v>-21.014492753623195</v>
      </c>
      <c r="AL39" s="63">
        <f>AO39-AI39</f>
        <v>30</v>
      </c>
      <c r="AM39" s="63">
        <f>AP39-AJ39</f>
        <v>15</v>
      </c>
      <c r="AN39" s="15">
        <f t="shared" ref="AN39:AN40" si="240">(AM39/AL39-1)*100</f>
        <v>-50</v>
      </c>
      <c r="AO39" s="66">
        <v>168</v>
      </c>
      <c r="AP39" s="66">
        <v>124</v>
      </c>
      <c r="AQ39" s="15">
        <f t="shared" ref="AQ39:AQ40" si="241">(AP39/AO39-1)*100</f>
        <v>-26.190476190476186</v>
      </c>
      <c r="AR39" s="63">
        <f>AU39-AO39</f>
        <v>22</v>
      </c>
      <c r="AS39" s="63">
        <f>AV39-AP39</f>
        <v>32</v>
      </c>
      <c r="AT39" s="15">
        <f t="shared" ref="AT39:AT40" si="242">(AS39/AR39-1)*100</f>
        <v>45.45454545454546</v>
      </c>
      <c r="AU39" s="66">
        <v>190</v>
      </c>
      <c r="AV39" s="66">
        <v>156</v>
      </c>
      <c r="AW39" s="15">
        <f t="shared" ref="AW39:AW40" si="243">(AV39/AU39-1)*100</f>
        <v>-17.894736842105264</v>
      </c>
      <c r="AX39" s="63">
        <f>BA39-AU39</f>
        <v>36</v>
      </c>
      <c r="AY39" s="63">
        <f>BB39-AV39</f>
        <v>1</v>
      </c>
      <c r="AZ39" s="15">
        <f t="shared" ref="AZ39:AZ40" si="244">(AY39/AX39-1)*100</f>
        <v>-97.222222222222214</v>
      </c>
      <c r="BA39" s="66">
        <v>226</v>
      </c>
      <c r="BB39" s="66">
        <v>157</v>
      </c>
      <c r="BC39" s="15">
        <f t="shared" ref="BC39:BC40" si="245">(BB39/BA39-1)*100</f>
        <v>-30.530973451327437</v>
      </c>
      <c r="BD39" s="63">
        <f>BG39-BA39</f>
        <v>32</v>
      </c>
      <c r="BE39" s="63">
        <f>BH39-BB39</f>
        <v>14</v>
      </c>
      <c r="BF39" s="15">
        <f t="shared" ref="BF39:BF40" si="246">(BE39/BD39-1)*100</f>
        <v>-56.25</v>
      </c>
      <c r="BG39" s="66">
        <v>258</v>
      </c>
      <c r="BH39" s="66">
        <v>171</v>
      </c>
      <c r="BI39" s="15">
        <f t="shared" ref="BI39:BI40" si="247">(BH39/BG39-1)*100</f>
        <v>-33.720930232558146</v>
      </c>
      <c r="BJ39" s="63">
        <f>BM39-BG39</f>
        <v>5</v>
      </c>
      <c r="BK39" s="63">
        <f>BN39-BH39</f>
        <v>5</v>
      </c>
      <c r="BL39" s="15">
        <f t="shared" ref="BL39:BL40" si="248">(BK39/BJ39-1)*100</f>
        <v>0</v>
      </c>
      <c r="BM39" s="66">
        <v>263</v>
      </c>
      <c r="BN39" s="66">
        <v>176</v>
      </c>
      <c r="BO39" s="15">
        <f t="shared" ref="BO39:BO40" si="249">(BN39/BM39-1)*100</f>
        <v>-33.079847908745251</v>
      </c>
      <c r="BP39" s="63">
        <f>BS39-BM39</f>
        <v>31</v>
      </c>
      <c r="BQ39" s="63">
        <f>BT39-BN39</f>
        <v>36</v>
      </c>
      <c r="BR39" s="15">
        <f t="shared" ref="BR39:BR40" si="250">(BQ39/BP39-1)*100</f>
        <v>16.129032258064523</v>
      </c>
      <c r="BS39" s="66">
        <v>294</v>
      </c>
      <c r="BT39" s="66">
        <v>212</v>
      </c>
      <c r="BU39" s="15">
        <f t="shared" ref="BU39:BU40" si="251">(BT39/BS39-1)*100</f>
        <v>-27.89115646258503</v>
      </c>
      <c r="BV39" s="63">
        <f>BY39-BS39</f>
        <v>18</v>
      </c>
      <c r="BW39" s="63">
        <f>BZ39-BT39</f>
        <v>45</v>
      </c>
      <c r="BX39" s="15">
        <f t="shared" ref="BX39:BX40" si="252">(BW39/BV39-1)*100</f>
        <v>150</v>
      </c>
      <c r="BY39" s="66">
        <v>312</v>
      </c>
      <c r="BZ39" s="66">
        <v>257</v>
      </c>
      <c r="CA39" s="15">
        <f t="shared" ref="CA39:CA40" si="253">(BZ39/BY39-1)*100</f>
        <v>-17.628205128205131</v>
      </c>
      <c r="CB39" s="108"/>
    </row>
    <row r="40" spans="1:80" s="1" customFormat="1" ht="19.5" customHeight="1">
      <c r="A40" s="154"/>
      <c r="B40" s="134"/>
      <c r="C40" s="33" t="s">
        <v>104</v>
      </c>
      <c r="D40" s="17">
        <v>497374</v>
      </c>
      <c r="E40" s="17">
        <v>422169</v>
      </c>
      <c r="F40" s="17">
        <v>599979</v>
      </c>
      <c r="G40" s="17">
        <v>415593</v>
      </c>
      <c r="H40" s="17">
        <f>167+372398</f>
        <v>372565</v>
      </c>
      <c r="I40" s="17">
        <v>480594</v>
      </c>
      <c r="J40" s="17">
        <v>848270</v>
      </c>
      <c r="K40" s="17">
        <v>40867</v>
      </c>
      <c r="L40" s="17">
        <v>33149</v>
      </c>
      <c r="M40" s="18">
        <f t="shared" si="0"/>
        <v>-18.885653461227882</v>
      </c>
      <c r="N40" s="17">
        <f>Q40-K40</f>
        <v>43976</v>
      </c>
      <c r="O40" s="17">
        <f>R40-L40</f>
        <v>46934</v>
      </c>
      <c r="P40" s="18">
        <f t="shared" si="1"/>
        <v>6.7263962161178803</v>
      </c>
      <c r="Q40" s="17">
        <v>84843</v>
      </c>
      <c r="R40" s="17">
        <v>80083</v>
      </c>
      <c r="S40" s="18">
        <f t="shared" si="2"/>
        <v>-5.6103626698725932</v>
      </c>
      <c r="T40" s="17">
        <f>W40-Q40</f>
        <v>32531</v>
      </c>
      <c r="U40" s="17">
        <f>X40-R40</f>
        <v>76518</v>
      </c>
      <c r="V40" s="18">
        <f t="shared" si="234"/>
        <v>135.21564046601702</v>
      </c>
      <c r="W40" s="17">
        <v>117374</v>
      </c>
      <c r="X40" s="17">
        <v>156601</v>
      </c>
      <c r="Y40" s="18">
        <f t="shared" si="235"/>
        <v>33.420519024656237</v>
      </c>
      <c r="Z40" s="17">
        <f>AC40-W40</f>
        <v>101246</v>
      </c>
      <c r="AA40" s="17">
        <f>AD40-X40</f>
        <v>70215</v>
      </c>
      <c r="AB40" s="18">
        <f t="shared" si="236"/>
        <v>-30.649112063686466</v>
      </c>
      <c r="AC40" s="17">
        <v>218620</v>
      </c>
      <c r="AD40" s="17">
        <v>226816</v>
      </c>
      <c r="AE40" s="18">
        <f t="shared" si="237"/>
        <v>3.7489708169426317</v>
      </c>
      <c r="AF40" s="17">
        <f>AI40-AC40</f>
        <v>34226</v>
      </c>
      <c r="AG40" s="17">
        <f>AJ40-AD40</f>
        <v>135466</v>
      </c>
      <c r="AH40" s="18">
        <f t="shared" si="238"/>
        <v>295.79851574826159</v>
      </c>
      <c r="AI40" s="17">
        <v>252846</v>
      </c>
      <c r="AJ40" s="17">
        <v>362282</v>
      </c>
      <c r="AK40" s="18">
        <f t="shared" si="239"/>
        <v>43.281681339629664</v>
      </c>
      <c r="AL40" s="17">
        <f>AO40-AI40</f>
        <v>60217</v>
      </c>
      <c r="AM40" s="17">
        <f>AP40-AJ40</f>
        <v>112654</v>
      </c>
      <c r="AN40" s="18">
        <f t="shared" si="240"/>
        <v>87.08006044804624</v>
      </c>
      <c r="AO40" s="17">
        <v>313063</v>
      </c>
      <c r="AP40" s="17">
        <v>474936</v>
      </c>
      <c r="AQ40" s="18">
        <f t="shared" si="241"/>
        <v>51.706206099091865</v>
      </c>
      <c r="AR40" s="17">
        <f>AU40-AO40</f>
        <v>17320</v>
      </c>
      <c r="AS40" s="17">
        <f>AV40-AP40</f>
        <v>113289</v>
      </c>
      <c r="AT40" s="18">
        <f t="shared" si="242"/>
        <v>554.09353348729792</v>
      </c>
      <c r="AU40" s="17">
        <v>330383</v>
      </c>
      <c r="AV40" s="17">
        <v>588225</v>
      </c>
      <c r="AW40" s="18">
        <f t="shared" si="243"/>
        <v>78.043361795249751</v>
      </c>
      <c r="AX40" s="17">
        <f>BA40-AU40</f>
        <v>62828</v>
      </c>
      <c r="AY40" s="17">
        <f>BB40-AV40</f>
        <v>87944</v>
      </c>
      <c r="AZ40" s="18">
        <f t="shared" si="244"/>
        <v>39.975806965047433</v>
      </c>
      <c r="BA40" s="17">
        <v>393211</v>
      </c>
      <c r="BB40" s="17">
        <v>676169</v>
      </c>
      <c r="BC40" s="18">
        <f t="shared" si="245"/>
        <v>71.960855622045173</v>
      </c>
      <c r="BD40" s="17">
        <f>BG40-BA40</f>
        <v>104687</v>
      </c>
      <c r="BE40" s="17">
        <f>BH40-BB40</f>
        <v>86273</v>
      </c>
      <c r="BF40" s="18">
        <f t="shared" si="246"/>
        <v>-17.589576547231268</v>
      </c>
      <c r="BG40" s="17">
        <v>497898</v>
      </c>
      <c r="BH40" s="17">
        <v>762442</v>
      </c>
      <c r="BI40" s="18">
        <f t="shared" si="247"/>
        <v>53.132167632727992</v>
      </c>
      <c r="BJ40" s="17">
        <f>BM40-BG40</f>
        <v>58378</v>
      </c>
      <c r="BK40" s="17">
        <f>BN40-BH40</f>
        <v>105066</v>
      </c>
      <c r="BL40" s="18">
        <f t="shared" si="248"/>
        <v>79.975333173455752</v>
      </c>
      <c r="BM40" s="17">
        <v>556276</v>
      </c>
      <c r="BN40" s="17">
        <v>867508</v>
      </c>
      <c r="BO40" s="18">
        <f t="shared" si="249"/>
        <v>55.949205070864096</v>
      </c>
      <c r="BP40" s="17">
        <f>BS40-BM40</f>
        <v>218785</v>
      </c>
      <c r="BQ40" s="17">
        <f>BT40-BN40</f>
        <v>246904</v>
      </c>
      <c r="BR40" s="18">
        <f t="shared" si="250"/>
        <v>12.852343625019991</v>
      </c>
      <c r="BS40" s="17">
        <v>775061</v>
      </c>
      <c r="BT40" s="17">
        <v>1114412</v>
      </c>
      <c r="BU40" s="18">
        <f t="shared" si="251"/>
        <v>43.783779599283143</v>
      </c>
      <c r="BV40" s="17">
        <f>BY40-BS40</f>
        <v>73209</v>
      </c>
      <c r="BW40" s="17">
        <f>BZ40-BT40</f>
        <v>153528</v>
      </c>
      <c r="BX40" s="18">
        <f t="shared" si="252"/>
        <v>109.71192066549196</v>
      </c>
      <c r="BY40" s="17">
        <v>848270</v>
      </c>
      <c r="BZ40" s="17">
        <v>1267940</v>
      </c>
      <c r="CA40" s="18">
        <f t="shared" si="253"/>
        <v>49.473634573897463</v>
      </c>
      <c r="CB40" s="108"/>
    </row>
    <row r="41" spans="1:80" s="1" customFormat="1" ht="19.5" customHeight="1">
      <c r="A41" s="155"/>
      <c r="B41" s="135"/>
      <c r="C41" s="93" t="s">
        <v>105</v>
      </c>
      <c r="D41" s="64">
        <f t="shared" ref="D41:L41" si="254">D40/D39</f>
        <v>135.70914051841746</v>
      </c>
      <c r="E41" s="64">
        <f t="shared" si="254"/>
        <v>1079.7161125319692</v>
      </c>
      <c r="F41" s="64">
        <f t="shared" si="254"/>
        <v>1276.5510638297872</v>
      </c>
      <c r="G41" s="64">
        <f t="shared" si="254"/>
        <v>1544.9553903345725</v>
      </c>
      <c r="H41" s="64">
        <f>H40/H39</f>
        <v>1321.1524822695035</v>
      </c>
      <c r="I41" s="64">
        <f>I40/I39</f>
        <v>1451.9456193353474</v>
      </c>
      <c r="J41" s="64">
        <f>J40/J39</f>
        <v>2718.8141025641025</v>
      </c>
      <c r="K41" s="64">
        <f t="shared" si="254"/>
        <v>1776.8260869565217</v>
      </c>
      <c r="L41" s="64">
        <f t="shared" si="254"/>
        <v>1506.7727272727273</v>
      </c>
      <c r="M41" s="65"/>
      <c r="N41" s="64">
        <f>N40/N39</f>
        <v>1691.3846153846155</v>
      </c>
      <c r="O41" s="64">
        <f>O40/O39</f>
        <v>2760.8235294117649</v>
      </c>
      <c r="P41" s="65"/>
      <c r="Q41" s="64">
        <f>Q40/Q39</f>
        <v>1731.4897959183672</v>
      </c>
      <c r="R41" s="64">
        <f>R40/R39</f>
        <v>2053.4102564102564</v>
      </c>
      <c r="S41" s="65"/>
      <c r="T41" s="64">
        <f>T40/T39</f>
        <v>1913.5882352941176</v>
      </c>
      <c r="U41" s="64">
        <f>U40/U39</f>
        <v>3326.8695652173915</v>
      </c>
      <c r="V41" s="65"/>
      <c r="W41" s="64">
        <f>W40/W39</f>
        <v>1778.3939393939395</v>
      </c>
      <c r="X41" s="64">
        <f>X40/X39</f>
        <v>2525.8225806451615</v>
      </c>
      <c r="Y41" s="65"/>
      <c r="Z41" s="64">
        <f>Z40/Z39</f>
        <v>1557.6307692307691</v>
      </c>
      <c r="AA41" s="64">
        <f>AA40/AA39</f>
        <v>2808.6</v>
      </c>
      <c r="AB41" s="65"/>
      <c r="AC41" s="64">
        <f>AC40/AC39</f>
        <v>1668.854961832061</v>
      </c>
      <c r="AD41" s="64">
        <f>AD40/AD39</f>
        <v>2607.0804597701149</v>
      </c>
      <c r="AE41" s="65"/>
      <c r="AF41" s="64">
        <f>AF40/AF39</f>
        <v>4889.4285714285716</v>
      </c>
      <c r="AG41" s="64">
        <f>AG40/AG39</f>
        <v>6157.545454545455</v>
      </c>
      <c r="AH41" s="65"/>
      <c r="AI41" s="64">
        <f>AI40/AI39</f>
        <v>1832.2173913043478</v>
      </c>
      <c r="AJ41" s="64">
        <f>AJ40/AJ39</f>
        <v>3323.6880733944954</v>
      </c>
      <c r="AK41" s="65"/>
      <c r="AL41" s="64">
        <f>AL40/AL39</f>
        <v>2007.2333333333333</v>
      </c>
      <c r="AM41" s="64">
        <f>AM40/AM39</f>
        <v>7510.2666666666664</v>
      </c>
      <c r="AN41" s="65"/>
      <c r="AO41" s="64">
        <f>AO40/AO39</f>
        <v>1863.4702380952381</v>
      </c>
      <c r="AP41" s="64">
        <f>AP40/AP39</f>
        <v>3830.1290322580644</v>
      </c>
      <c r="AQ41" s="65"/>
      <c r="AR41" s="64">
        <f>AR40/AR39</f>
        <v>787.27272727272725</v>
      </c>
      <c r="AS41" s="64">
        <f>AS40/AS39</f>
        <v>3540.28125</v>
      </c>
      <c r="AT41" s="65"/>
      <c r="AU41" s="64">
        <f>AU40/AU39</f>
        <v>1738.8578947368421</v>
      </c>
      <c r="AV41" s="64">
        <f>AV40/AV39</f>
        <v>3770.6730769230771</v>
      </c>
      <c r="AW41" s="65"/>
      <c r="AX41" s="64">
        <f>AX40/AX39</f>
        <v>1745.2222222222222</v>
      </c>
      <c r="AY41" s="64">
        <f>AY40/AY39</f>
        <v>87944</v>
      </c>
      <c r="AZ41" s="65"/>
      <c r="BA41" s="64">
        <f>BA40/BA39</f>
        <v>1739.8716814159293</v>
      </c>
      <c r="BB41" s="64">
        <f>BB40/BB39</f>
        <v>4306.8089171974525</v>
      </c>
      <c r="BC41" s="65"/>
      <c r="BD41" s="64">
        <f>BD40/BD39</f>
        <v>3271.46875</v>
      </c>
      <c r="BE41" s="64">
        <f>BE40/BE39</f>
        <v>6162.3571428571431</v>
      </c>
      <c r="BF41" s="65"/>
      <c r="BG41" s="64">
        <f>BG40/BG39</f>
        <v>1929.8372093023256</v>
      </c>
      <c r="BH41" s="64">
        <f>BH40/BH39</f>
        <v>4458.7251461988308</v>
      </c>
      <c r="BI41" s="65"/>
      <c r="BJ41" s="64">
        <f>BJ40/BJ39</f>
        <v>11675.6</v>
      </c>
      <c r="BK41" s="64">
        <f>BK40/BK39</f>
        <v>21013.200000000001</v>
      </c>
      <c r="BL41" s="65"/>
      <c r="BM41" s="64">
        <f>BM40/BM39</f>
        <v>2115.1178707224335</v>
      </c>
      <c r="BN41" s="64">
        <f>BN40/BN39</f>
        <v>4929.022727272727</v>
      </c>
      <c r="BO41" s="65"/>
      <c r="BP41" s="64">
        <f>BP40/BP39</f>
        <v>7057.5806451612907</v>
      </c>
      <c r="BQ41" s="64">
        <f>BQ40/BQ39</f>
        <v>6858.4444444444443</v>
      </c>
      <c r="BR41" s="65"/>
      <c r="BS41" s="64">
        <f>BS40/BS39</f>
        <v>2636.2619047619046</v>
      </c>
      <c r="BT41" s="64">
        <f>BT40/BT39</f>
        <v>5256.6603773584902</v>
      </c>
      <c r="BU41" s="65"/>
      <c r="BV41" s="64">
        <f>BV40/BV39</f>
        <v>4067.1666666666665</v>
      </c>
      <c r="BW41" s="64">
        <f>BW40/BW39</f>
        <v>3411.7333333333331</v>
      </c>
      <c r="BX41" s="65"/>
      <c r="BY41" s="64">
        <f>BY40/BY39</f>
        <v>2718.8141025641025</v>
      </c>
      <c r="BZ41" s="64">
        <f>BZ40/BZ39</f>
        <v>4933.6186770428012</v>
      </c>
      <c r="CA41" s="65"/>
      <c r="CB41" s="108"/>
    </row>
    <row r="42" spans="1:80" s="1" customFormat="1" ht="19.5" customHeight="1">
      <c r="A42" s="164" t="s">
        <v>171</v>
      </c>
      <c r="B42" s="133" t="s">
        <v>129</v>
      </c>
      <c r="C42" s="32" t="s">
        <v>42</v>
      </c>
      <c r="D42" s="66">
        <v>1746249</v>
      </c>
      <c r="E42" s="66">
        <v>1927411</v>
      </c>
      <c r="F42" s="66">
        <v>1919787</v>
      </c>
      <c r="G42" s="66">
        <v>1903105</v>
      </c>
      <c r="H42" s="66">
        <f>1160809+2+871596</f>
        <v>2032407</v>
      </c>
      <c r="I42" s="66">
        <v>2380612</v>
      </c>
      <c r="J42" s="66">
        <v>2058232</v>
      </c>
      <c r="K42" s="66">
        <v>197270</v>
      </c>
      <c r="L42" s="66">
        <v>151209</v>
      </c>
      <c r="M42" s="15">
        <f t="shared" si="0"/>
        <v>-23.349216809448979</v>
      </c>
      <c r="N42" s="63">
        <f>Q42-K42</f>
        <v>116002</v>
      </c>
      <c r="O42" s="63">
        <f>R42-L42</f>
        <v>163519</v>
      </c>
      <c r="P42" s="15">
        <f t="shared" si="1"/>
        <v>40.962224789227776</v>
      </c>
      <c r="Q42" s="66">
        <v>313272</v>
      </c>
      <c r="R42" s="66">
        <v>314728</v>
      </c>
      <c r="S42" s="15">
        <f t="shared" si="2"/>
        <v>0.46477182767690195</v>
      </c>
      <c r="T42" s="63">
        <f>W42-Q42</f>
        <v>246163</v>
      </c>
      <c r="U42" s="63">
        <f>X42-R42</f>
        <v>282212</v>
      </c>
      <c r="V42" s="15">
        <f t="shared" ref="V42:V43" si="255">(U42/T42-1)*100</f>
        <v>14.644361662800677</v>
      </c>
      <c r="W42" s="66">
        <v>559435</v>
      </c>
      <c r="X42" s="66">
        <v>596940</v>
      </c>
      <c r="Y42" s="15">
        <f t="shared" ref="Y42:Y43" si="256">(X42/W42-1)*100</f>
        <v>6.7040853718483895</v>
      </c>
      <c r="Z42" s="63">
        <f>AC42-W42</f>
        <v>150158</v>
      </c>
      <c r="AA42" s="63">
        <f>AD42-X42</f>
        <v>224970</v>
      </c>
      <c r="AB42" s="15">
        <f t="shared" ref="AB42:AB43" si="257">(AA42/Z42-1)*100</f>
        <v>49.82218729604817</v>
      </c>
      <c r="AC42" s="66">
        <v>709593</v>
      </c>
      <c r="AD42" s="66">
        <v>821910</v>
      </c>
      <c r="AE42" s="15">
        <f t="shared" ref="AE42:AE43" si="258">(AD42/AC42-1)*100</f>
        <v>15.828369220102223</v>
      </c>
      <c r="AF42" s="63">
        <f>AI42-AC42</f>
        <v>187949</v>
      </c>
      <c r="AG42" s="63">
        <f>AJ42-AD42</f>
        <v>190283</v>
      </c>
      <c r="AH42" s="15">
        <f t="shared" ref="AH42:AH43" si="259">(AG42/AF42-1)*100</f>
        <v>1.2418262400970548</v>
      </c>
      <c r="AI42" s="66">
        <v>897542</v>
      </c>
      <c r="AJ42" s="66">
        <v>1012193</v>
      </c>
      <c r="AK42" s="15">
        <f t="shared" ref="AK42:AK43" si="260">(AJ42/AI42-1)*100</f>
        <v>12.773886904456845</v>
      </c>
      <c r="AL42" s="63">
        <f>AO42-AI42</f>
        <v>222637</v>
      </c>
      <c r="AM42" s="63">
        <f>AP42-AJ42</f>
        <v>257034</v>
      </c>
      <c r="AN42" s="15">
        <f t="shared" ref="AN42:AN43" si="261">(AM42/AL42-1)*100</f>
        <v>15.449812924177021</v>
      </c>
      <c r="AO42" s="66">
        <v>1120179</v>
      </c>
      <c r="AP42" s="66">
        <v>1269227</v>
      </c>
      <c r="AQ42" s="15">
        <f t="shared" ref="AQ42:AQ43" si="262">(AP42/AO42-1)*100</f>
        <v>13.305730601984145</v>
      </c>
      <c r="AR42" s="63">
        <f>AU42-AO42</f>
        <v>162301</v>
      </c>
      <c r="AS42" s="63">
        <f>AV42-AP42</f>
        <v>164839</v>
      </c>
      <c r="AT42" s="15">
        <f t="shared" ref="AT42:AT43" si="263">(AS42/AR42-1)*100</f>
        <v>1.5637611598203316</v>
      </c>
      <c r="AU42" s="66">
        <v>1282480</v>
      </c>
      <c r="AV42" s="66">
        <v>1434066</v>
      </c>
      <c r="AW42" s="15">
        <f t="shared" ref="AW42:AW43" si="264">(AV42/AU42-1)*100</f>
        <v>11.819755473769566</v>
      </c>
      <c r="AX42" s="63">
        <f>BA42-AU42</f>
        <v>152219</v>
      </c>
      <c r="AY42" s="63">
        <f>BB42-AV42</f>
        <v>240228</v>
      </c>
      <c r="AZ42" s="15">
        <f t="shared" ref="AZ42:AZ43" si="265">(AY42/AX42-1)*100</f>
        <v>57.817355257885026</v>
      </c>
      <c r="BA42" s="66">
        <v>1434699</v>
      </c>
      <c r="BB42" s="66">
        <v>1674294</v>
      </c>
      <c r="BC42" s="15">
        <f t="shared" ref="BC42:BC43" si="266">(BB42/BA42-1)*100</f>
        <v>16.700018610175384</v>
      </c>
      <c r="BD42" s="63">
        <f>BG42-BA42</f>
        <v>150617</v>
      </c>
      <c r="BE42" s="63">
        <f>BH42-BB42</f>
        <v>114856</v>
      </c>
      <c r="BF42" s="15">
        <f t="shared" ref="BF42:BF43" si="267">(BE42/BD42-1)*100</f>
        <v>-23.743003777794002</v>
      </c>
      <c r="BG42" s="66">
        <v>1585316</v>
      </c>
      <c r="BH42" s="66">
        <v>1789150</v>
      </c>
      <c r="BI42" s="15">
        <f t="shared" ref="BI42:BI43" si="268">(BH42/BG42-1)*100</f>
        <v>12.85762586134247</v>
      </c>
      <c r="BJ42" s="63">
        <f>BM42-BG42</f>
        <v>134720</v>
      </c>
      <c r="BK42" s="63">
        <f>BN42-BH42</f>
        <v>156502</v>
      </c>
      <c r="BL42" s="15">
        <f t="shared" ref="BL42:BL43" si="269">(BK42/BJ42-1)*100</f>
        <v>16.168349168646088</v>
      </c>
      <c r="BM42" s="66">
        <v>1720036</v>
      </c>
      <c r="BN42" s="66">
        <v>1945652</v>
      </c>
      <c r="BO42" s="15">
        <f t="shared" ref="BO42:BO43" si="270">(BN42/BM42-1)*100</f>
        <v>13.116934761830557</v>
      </c>
      <c r="BP42" s="63">
        <f>BS42-BM42</f>
        <v>134808</v>
      </c>
      <c r="BQ42" s="63">
        <f>BT42-BN42</f>
        <v>212338</v>
      </c>
      <c r="BR42" s="15">
        <f t="shared" ref="BR42:BR43" si="271">(BQ42/BP42-1)*100</f>
        <v>57.511423654382533</v>
      </c>
      <c r="BS42" s="66">
        <v>1854844</v>
      </c>
      <c r="BT42" s="66">
        <v>2157990</v>
      </c>
      <c r="BU42" s="15">
        <f t="shared" ref="BU42:BU43" si="272">(BT42/BS42-1)*100</f>
        <v>16.343476863822517</v>
      </c>
      <c r="BV42" s="63">
        <f>BY42-BS42</f>
        <v>203388</v>
      </c>
      <c r="BW42" s="63">
        <f>BZ42-BT42</f>
        <v>207445</v>
      </c>
      <c r="BX42" s="15">
        <f t="shared" ref="BX42:BX43" si="273">(BW42/BV42-1)*100</f>
        <v>1.9947096190532365</v>
      </c>
      <c r="BY42" s="66">
        <v>2058232</v>
      </c>
      <c r="BZ42" s="66">
        <v>2365435</v>
      </c>
      <c r="CA42" s="15">
        <f t="shared" ref="CA42:CA43" si="274">(BZ42/BY42-1)*100</f>
        <v>14.92557690289531</v>
      </c>
      <c r="CB42" s="108"/>
    </row>
    <row r="43" spans="1:80" s="1" customFormat="1" ht="19.5" customHeight="1">
      <c r="A43" s="154"/>
      <c r="B43" s="134"/>
      <c r="C43" s="33" t="s">
        <v>104</v>
      </c>
      <c r="D43" s="17">
        <v>20342839</v>
      </c>
      <c r="E43" s="17">
        <v>24488774</v>
      </c>
      <c r="F43" s="17">
        <v>28611433</v>
      </c>
      <c r="G43" s="17">
        <v>27171186</v>
      </c>
      <c r="H43" s="17">
        <f>12560197+1416+10477589</f>
        <v>23039202</v>
      </c>
      <c r="I43" s="17">
        <v>26644876</v>
      </c>
      <c r="J43" s="17">
        <v>20408354</v>
      </c>
      <c r="K43" s="17">
        <v>1951963</v>
      </c>
      <c r="L43" s="17">
        <v>1433415</v>
      </c>
      <c r="M43" s="18">
        <f t="shared" si="0"/>
        <v>-26.565462562558817</v>
      </c>
      <c r="N43" s="17">
        <f>Q43-K43</f>
        <v>1327145</v>
      </c>
      <c r="O43" s="17">
        <f>R43-L43</f>
        <v>1664701</v>
      </c>
      <c r="P43" s="18">
        <f t="shared" si="1"/>
        <v>25.434749028930526</v>
      </c>
      <c r="Q43" s="17">
        <v>3279108</v>
      </c>
      <c r="R43" s="17">
        <v>3098116</v>
      </c>
      <c r="S43" s="18">
        <f t="shared" si="2"/>
        <v>-5.5195498287949007</v>
      </c>
      <c r="T43" s="17">
        <f>W43-Q43</f>
        <v>2473459</v>
      </c>
      <c r="U43" s="17">
        <f>X43-R43</f>
        <v>2476482</v>
      </c>
      <c r="V43" s="18">
        <f t="shared" si="255"/>
        <v>0.12221750997287728</v>
      </c>
      <c r="W43" s="17">
        <v>5752567</v>
      </c>
      <c r="X43" s="17">
        <v>5574598</v>
      </c>
      <c r="Y43" s="18">
        <f t="shared" si="256"/>
        <v>-3.0937318939527336</v>
      </c>
      <c r="Z43" s="17">
        <f>AC43-W43</f>
        <v>1550077</v>
      </c>
      <c r="AA43" s="17">
        <f>AD43-X43</f>
        <v>1978715</v>
      </c>
      <c r="AB43" s="18">
        <f t="shared" si="257"/>
        <v>27.652690801811787</v>
      </c>
      <c r="AC43" s="17">
        <v>7302644</v>
      </c>
      <c r="AD43" s="17">
        <v>7553313</v>
      </c>
      <c r="AE43" s="18">
        <f t="shared" si="258"/>
        <v>3.4325786660283519</v>
      </c>
      <c r="AF43" s="17">
        <f>AI43-AC43</f>
        <v>1840656</v>
      </c>
      <c r="AG43" s="17">
        <f>AJ43-AD43</f>
        <v>1700120</v>
      </c>
      <c r="AH43" s="18">
        <f t="shared" si="259"/>
        <v>-7.6351040063977198</v>
      </c>
      <c r="AI43" s="17">
        <v>9143300</v>
      </c>
      <c r="AJ43" s="17">
        <v>9253433</v>
      </c>
      <c r="AK43" s="18">
        <f t="shared" si="260"/>
        <v>1.2045213434974222</v>
      </c>
      <c r="AL43" s="17">
        <f>AO43-AI43</f>
        <v>1949981</v>
      </c>
      <c r="AM43" s="17">
        <f>AP43-AJ43</f>
        <v>2247153</v>
      </c>
      <c r="AN43" s="18">
        <f t="shared" si="261"/>
        <v>15.2397382333469</v>
      </c>
      <c r="AO43" s="17">
        <v>11093281</v>
      </c>
      <c r="AP43" s="17">
        <v>11500586</v>
      </c>
      <c r="AQ43" s="18">
        <f t="shared" si="262"/>
        <v>3.6716369124698112</v>
      </c>
      <c r="AR43" s="17">
        <f>AU43-AO43</f>
        <v>1654148</v>
      </c>
      <c r="AS43" s="17">
        <f>AV43-AP43</f>
        <v>1528456</v>
      </c>
      <c r="AT43" s="18">
        <f t="shared" si="263"/>
        <v>-7.5985945634852499</v>
      </c>
      <c r="AU43" s="17">
        <v>12747429</v>
      </c>
      <c r="AV43" s="17">
        <v>13029042</v>
      </c>
      <c r="AW43" s="18">
        <f t="shared" si="264"/>
        <v>2.2091748853827697</v>
      </c>
      <c r="AX43" s="17">
        <f>BA43-AU43</f>
        <v>1485153</v>
      </c>
      <c r="AY43" s="17">
        <f>BB43-AV43</f>
        <v>2105768</v>
      </c>
      <c r="AZ43" s="18">
        <f t="shared" si="265"/>
        <v>41.787950467056255</v>
      </c>
      <c r="BA43" s="17">
        <v>14232582</v>
      </c>
      <c r="BB43" s="17">
        <v>15134810</v>
      </c>
      <c r="BC43" s="18">
        <f t="shared" si="266"/>
        <v>6.3391730326935791</v>
      </c>
      <c r="BD43" s="17">
        <f>BG43-BA43</f>
        <v>1369929</v>
      </c>
      <c r="BE43" s="17">
        <f>BH43-BB43</f>
        <v>1099717</v>
      </c>
      <c r="BF43" s="18">
        <f t="shared" si="267"/>
        <v>-19.724525869588859</v>
      </c>
      <c r="BG43" s="17">
        <v>15602511</v>
      </c>
      <c r="BH43" s="17">
        <v>16234527</v>
      </c>
      <c r="BI43" s="18">
        <f t="shared" si="268"/>
        <v>4.0507326032328983</v>
      </c>
      <c r="BJ43" s="17">
        <f>BM43-BG43</f>
        <v>1416372</v>
      </c>
      <c r="BK43" s="17">
        <f>BN43-BH43</f>
        <v>1466733</v>
      </c>
      <c r="BL43" s="18">
        <f t="shared" si="269"/>
        <v>3.5556336894544627</v>
      </c>
      <c r="BM43" s="17">
        <v>17018883</v>
      </c>
      <c r="BN43" s="17">
        <v>17701260</v>
      </c>
      <c r="BO43" s="18">
        <f t="shared" si="270"/>
        <v>4.0095287099629173</v>
      </c>
      <c r="BP43" s="17">
        <f>BS43-BM43</f>
        <v>1372080</v>
      </c>
      <c r="BQ43" s="17">
        <f>BT43-BN43</f>
        <v>1872482</v>
      </c>
      <c r="BR43" s="18">
        <f t="shared" si="271"/>
        <v>36.470322430179003</v>
      </c>
      <c r="BS43" s="17">
        <v>18390963</v>
      </c>
      <c r="BT43" s="17">
        <v>19573742</v>
      </c>
      <c r="BU43" s="18">
        <f t="shared" si="272"/>
        <v>6.4313054188625207</v>
      </c>
      <c r="BV43" s="17">
        <f>BY43-BS43</f>
        <v>2017391</v>
      </c>
      <c r="BW43" s="17">
        <f>BZ43-BT43</f>
        <v>1684701</v>
      </c>
      <c r="BX43" s="18">
        <f t="shared" si="273"/>
        <v>-16.491101625812743</v>
      </c>
      <c r="BY43" s="17">
        <v>20408354</v>
      </c>
      <c r="BZ43" s="17">
        <v>21258443</v>
      </c>
      <c r="CA43" s="18">
        <f t="shared" si="274"/>
        <v>4.1653971701980375</v>
      </c>
      <c r="CB43" s="108"/>
    </row>
    <row r="44" spans="1:80" s="1" customFormat="1" ht="19.5" customHeight="1">
      <c r="A44" s="155"/>
      <c r="B44" s="135"/>
      <c r="C44" s="93" t="s">
        <v>105</v>
      </c>
      <c r="D44" s="64">
        <f t="shared" ref="D44:L44" si="275">D43/D42</f>
        <v>11.649449190808413</v>
      </c>
      <c r="E44" s="64">
        <f t="shared" si="275"/>
        <v>12.705527777936309</v>
      </c>
      <c r="F44" s="64">
        <f t="shared" si="275"/>
        <v>14.903441371360469</v>
      </c>
      <c r="G44" s="64">
        <f t="shared" si="275"/>
        <v>14.277292109473729</v>
      </c>
      <c r="H44" s="64">
        <f>H43/H42</f>
        <v>11.335919429523713</v>
      </c>
      <c r="I44" s="64">
        <f>I43/I42</f>
        <v>11.192447992364988</v>
      </c>
      <c r="J44" s="64">
        <f>J43/J42</f>
        <v>9.9154779441773329</v>
      </c>
      <c r="K44" s="64">
        <f t="shared" si="275"/>
        <v>9.8948801135499576</v>
      </c>
      <c r="L44" s="64">
        <f t="shared" si="275"/>
        <v>9.4796936690276379</v>
      </c>
      <c r="M44" s="65"/>
      <c r="N44" s="64">
        <f>N43/N42</f>
        <v>11.440707918828986</v>
      </c>
      <c r="O44" s="64">
        <f>O43/O42</f>
        <v>10.180474440279111</v>
      </c>
      <c r="P44" s="65"/>
      <c r="Q44" s="64">
        <f>Q43/Q42</f>
        <v>10.467287213667356</v>
      </c>
      <c r="R44" s="64">
        <f>R43/R42</f>
        <v>9.8437889224981578</v>
      </c>
      <c r="S44" s="65"/>
      <c r="T44" s="64">
        <f>T43/T42</f>
        <v>10.04805352550952</v>
      </c>
      <c r="U44" s="64">
        <f>U43/U42</f>
        <v>8.7752540643204391</v>
      </c>
      <c r="V44" s="65"/>
      <c r="W44" s="64">
        <f>W43/W42</f>
        <v>10.282815697980999</v>
      </c>
      <c r="X44" s="64">
        <f>X43/X42</f>
        <v>9.3386236472677329</v>
      </c>
      <c r="Y44" s="65"/>
      <c r="Z44" s="64">
        <f>Z43/Z42</f>
        <v>10.322973134964505</v>
      </c>
      <c r="AA44" s="64">
        <f>AA43/AA42</f>
        <v>8.7954616171045021</v>
      </c>
      <c r="AB44" s="65"/>
      <c r="AC44" s="64">
        <f>AC43/AC42</f>
        <v>10.291313471243376</v>
      </c>
      <c r="AD44" s="64">
        <f>AD43/AD42</f>
        <v>9.1899514545388179</v>
      </c>
      <c r="AE44" s="65"/>
      <c r="AF44" s="64">
        <f>AF43/AF42</f>
        <v>9.7933801190748557</v>
      </c>
      <c r="AG44" s="64">
        <f>AG43/AG42</f>
        <v>8.934692011372535</v>
      </c>
      <c r="AH44" s="65"/>
      <c r="AI44" s="64">
        <f>AI43/AI42</f>
        <v>10.187044171749065</v>
      </c>
      <c r="AJ44" s="64">
        <f>AJ43/AJ42</f>
        <v>9.1419650205049834</v>
      </c>
      <c r="AK44" s="65"/>
      <c r="AL44" s="64">
        <f>AL43/AL42</f>
        <v>8.7585666353750717</v>
      </c>
      <c r="AM44" s="64">
        <f>AM43/AM42</f>
        <v>8.7426293797707704</v>
      </c>
      <c r="AN44" s="65"/>
      <c r="AO44" s="64">
        <f>AO43/AO42</f>
        <v>9.9031324457966097</v>
      </c>
      <c r="AP44" s="64">
        <f>AP43/AP42</f>
        <v>9.0610946662811305</v>
      </c>
      <c r="AQ44" s="65"/>
      <c r="AR44" s="64">
        <f>AR43/AR42</f>
        <v>10.191853408173701</v>
      </c>
      <c r="AS44" s="64">
        <f>AS43/AS42</f>
        <v>9.2724173284234919</v>
      </c>
      <c r="AT44" s="65"/>
      <c r="AU44" s="64">
        <f>AU43/AU42</f>
        <v>9.9396707940864584</v>
      </c>
      <c r="AV44" s="64">
        <f>AV43/AV42</f>
        <v>9.0853851914765436</v>
      </c>
      <c r="AW44" s="65"/>
      <c r="AX44" s="64">
        <f>AX43/AX42</f>
        <v>9.7566860904354904</v>
      </c>
      <c r="AY44" s="64">
        <f>AY43/AY42</f>
        <v>8.7657059127162533</v>
      </c>
      <c r="AZ44" s="65"/>
      <c r="BA44" s="64">
        <f>BA43/BA42</f>
        <v>9.920256444034603</v>
      </c>
      <c r="BB44" s="64">
        <f>BB43/BB42</f>
        <v>9.0395175518755959</v>
      </c>
      <c r="BC44" s="65"/>
      <c r="BD44" s="64">
        <f>BD43/BD42</f>
        <v>9.0954473930565598</v>
      </c>
      <c r="BE44" s="64">
        <f>BE43/BE42</f>
        <v>9.5747457686146138</v>
      </c>
      <c r="BF44" s="65"/>
      <c r="BG44" s="64">
        <f>BG43/BG42</f>
        <v>9.8418933512309223</v>
      </c>
      <c r="BH44" s="64">
        <f>BH43/BH42</f>
        <v>9.0738769806891533</v>
      </c>
      <c r="BI44" s="65"/>
      <c r="BJ44" s="64">
        <f>BJ43/BJ42</f>
        <v>10.513450118764846</v>
      </c>
      <c r="BK44" s="64">
        <f>BK43/BK42</f>
        <v>9.3719760769830422</v>
      </c>
      <c r="BL44" s="65"/>
      <c r="BM44" s="64">
        <f>BM43/BM42</f>
        <v>9.8944923245792538</v>
      </c>
      <c r="BN44" s="64">
        <f>BN43/BN42</f>
        <v>9.0978551148920772</v>
      </c>
      <c r="BO44" s="65"/>
      <c r="BP44" s="64">
        <f>BP43/BP42</f>
        <v>10.178030977390065</v>
      </c>
      <c r="BQ44" s="64">
        <f>BQ43/BQ42</f>
        <v>8.8184027352617047</v>
      </c>
      <c r="BR44" s="65"/>
      <c r="BS44" s="64">
        <f>BS43/BS42</f>
        <v>9.9150995986724482</v>
      </c>
      <c r="BT44" s="64">
        <f>BT43/BT42</f>
        <v>9.0703580646805584</v>
      </c>
      <c r="BU44" s="65"/>
      <c r="BV44" s="64">
        <f>BV43/BV42</f>
        <v>9.918928353688516</v>
      </c>
      <c r="BW44" s="64">
        <f>BW43/BW42</f>
        <v>8.1211935693798356</v>
      </c>
      <c r="BX44" s="65"/>
      <c r="BY44" s="64">
        <f>BY43/BY42</f>
        <v>9.9154779441773329</v>
      </c>
      <c r="BZ44" s="64">
        <f>BZ43/BZ42</f>
        <v>8.9871178028565577</v>
      </c>
      <c r="CA44" s="65"/>
      <c r="CB44" s="108"/>
    </row>
    <row r="45" spans="1:80" s="1" customFormat="1" ht="19.5" customHeight="1">
      <c r="A45" s="164" t="s">
        <v>172</v>
      </c>
      <c r="B45" s="133" t="s">
        <v>6</v>
      </c>
      <c r="C45" s="32" t="s">
        <v>42</v>
      </c>
      <c r="D45" s="66">
        <v>372</v>
      </c>
      <c r="E45" s="66">
        <v>17</v>
      </c>
      <c r="F45" s="66">
        <v>0</v>
      </c>
      <c r="G45" s="66">
        <v>3004</v>
      </c>
      <c r="H45" s="66">
        <f>304+11055</f>
        <v>11359</v>
      </c>
      <c r="I45" s="66">
        <v>7052</v>
      </c>
      <c r="J45" s="66">
        <v>4107</v>
      </c>
      <c r="K45" s="66">
        <v>2000</v>
      </c>
      <c r="L45" s="66">
        <v>18</v>
      </c>
      <c r="M45" s="15">
        <f t="shared" si="0"/>
        <v>-99.1</v>
      </c>
      <c r="N45" s="63">
        <f>Q45-K45</f>
        <v>18</v>
      </c>
      <c r="O45" s="63">
        <f>R45-L45</f>
        <v>0</v>
      </c>
      <c r="P45" s="15">
        <f t="shared" si="1"/>
        <v>-100</v>
      </c>
      <c r="Q45" s="66">
        <v>2018</v>
      </c>
      <c r="R45" s="66">
        <v>18</v>
      </c>
      <c r="S45" s="15">
        <f t="shared" si="2"/>
        <v>-99.108027750247771</v>
      </c>
      <c r="T45" s="63">
        <f>W45-Q45</f>
        <v>14</v>
      </c>
      <c r="U45" s="63">
        <f>X45-R45</f>
        <v>19</v>
      </c>
      <c r="V45" s="15">
        <f t="shared" ref="V45:V46" si="276">(U45/T45-1)*100</f>
        <v>35.714285714285722</v>
      </c>
      <c r="W45" s="66">
        <v>2032</v>
      </c>
      <c r="X45" s="66">
        <v>37</v>
      </c>
      <c r="Y45" s="15">
        <f t="shared" ref="Y45:Y46" si="277">(X45/W45-1)*100</f>
        <v>-98.179133858267718</v>
      </c>
      <c r="Z45" s="63">
        <f>AC45-W45</f>
        <v>2000</v>
      </c>
      <c r="AA45" s="63">
        <f>AD45-X45</f>
        <v>18</v>
      </c>
      <c r="AB45" s="15">
        <f t="shared" ref="AB45:AB46" si="278">(AA45/Z45-1)*100</f>
        <v>-99.1</v>
      </c>
      <c r="AC45" s="66">
        <v>4032</v>
      </c>
      <c r="AD45" s="66">
        <v>55</v>
      </c>
      <c r="AE45" s="15">
        <f t="shared" ref="AE45:AE46" si="279">(AD45/AC45-1)*100</f>
        <v>-98.635912698412696</v>
      </c>
      <c r="AF45" s="63">
        <f>AI45-AC45</f>
        <v>10</v>
      </c>
      <c r="AG45" s="63">
        <f>AJ45-AD45</f>
        <v>20</v>
      </c>
      <c r="AH45" s="15">
        <f t="shared" ref="AH45:AH46" si="280">(AG45/AF45-1)*100</f>
        <v>100</v>
      </c>
      <c r="AI45" s="66">
        <v>4042</v>
      </c>
      <c r="AJ45" s="66">
        <v>75</v>
      </c>
      <c r="AK45" s="15">
        <f t="shared" ref="AK45:AK46" si="281">(AJ45/AI45-1)*100</f>
        <v>-98.144482929242955</v>
      </c>
      <c r="AL45" s="63">
        <f>AO45-AI45</f>
        <v>20</v>
      </c>
      <c r="AM45" s="63">
        <f>AP45-AJ45</f>
        <v>17</v>
      </c>
      <c r="AN45" s="15">
        <f t="shared" ref="AN45:AN46" si="282">(AM45/AL45-1)*100</f>
        <v>-15.000000000000002</v>
      </c>
      <c r="AO45" s="66">
        <v>4062</v>
      </c>
      <c r="AP45" s="66">
        <v>92</v>
      </c>
      <c r="AQ45" s="15">
        <f t="shared" ref="AQ45:AQ46" si="283">(AP45/AO45-1)*100</f>
        <v>-97.735105859182667</v>
      </c>
      <c r="AR45" s="63">
        <f>AU45-AO45</f>
        <v>0</v>
      </c>
      <c r="AS45" s="63">
        <f>AV45-AP45</f>
        <v>0</v>
      </c>
      <c r="AT45" s="15" t="e">
        <f t="shared" ref="AT45:AT46" si="284">(AS45/AR45-1)*100</f>
        <v>#DIV/0!</v>
      </c>
      <c r="AU45" s="66">
        <v>4062</v>
      </c>
      <c r="AV45" s="66">
        <v>92</v>
      </c>
      <c r="AW45" s="15">
        <f t="shared" ref="AW45:AW46" si="285">(AV45/AU45-1)*100</f>
        <v>-97.735105859182667</v>
      </c>
      <c r="AX45" s="63">
        <f>BA45-AU45</f>
        <v>18</v>
      </c>
      <c r="AY45" s="63">
        <f>BB45-AV45</f>
        <v>0</v>
      </c>
      <c r="AZ45" s="15">
        <f t="shared" ref="AZ45:AZ46" si="286">(AY45/AX45-1)*100</f>
        <v>-100</v>
      </c>
      <c r="BA45" s="66">
        <v>4080</v>
      </c>
      <c r="BB45" s="66">
        <v>92</v>
      </c>
      <c r="BC45" s="15">
        <f t="shared" ref="BC45:BC46" si="287">(BB45/BA45-1)*100</f>
        <v>-97.745098039215677</v>
      </c>
      <c r="BD45" s="63">
        <f>BG45-BA45</f>
        <v>9</v>
      </c>
      <c r="BE45" s="63">
        <f>BH45-BB45</f>
        <v>18</v>
      </c>
      <c r="BF45" s="15">
        <f t="shared" ref="BF45:BF46" si="288">(BE45/BD45-1)*100</f>
        <v>100</v>
      </c>
      <c r="BG45" s="66">
        <v>4089</v>
      </c>
      <c r="BH45" s="66">
        <v>110</v>
      </c>
      <c r="BI45" s="15">
        <f t="shared" ref="BI45:BI46" si="289">(BH45/BG45-1)*100</f>
        <v>-97.309855710442648</v>
      </c>
      <c r="BJ45" s="63">
        <f>BM45-BG45</f>
        <v>18</v>
      </c>
      <c r="BK45" s="63">
        <f>BN45-BH45</f>
        <v>0</v>
      </c>
      <c r="BL45" s="15">
        <f t="shared" ref="BL45:BL46" si="290">(BK45/BJ45-1)*100</f>
        <v>-100</v>
      </c>
      <c r="BM45" s="66">
        <v>4107</v>
      </c>
      <c r="BN45" s="66">
        <v>110</v>
      </c>
      <c r="BO45" s="15">
        <f t="shared" ref="BO45:BO46" si="291">(BN45/BM45-1)*100</f>
        <v>-97.321645970294625</v>
      </c>
      <c r="BP45" s="63">
        <f>BS45-BM45</f>
        <v>0</v>
      </c>
      <c r="BQ45" s="63">
        <f>BT45-BN45</f>
        <v>10</v>
      </c>
      <c r="BR45" s="15" t="e">
        <f t="shared" ref="BR45:BR46" si="292">(BQ45/BP45-1)*100</f>
        <v>#DIV/0!</v>
      </c>
      <c r="BS45" s="66">
        <v>4107</v>
      </c>
      <c r="BT45" s="66">
        <v>120</v>
      </c>
      <c r="BU45" s="15">
        <f t="shared" ref="BU45:BU46" si="293">(BT45/BS45-1)*100</f>
        <v>-97.078159240321398</v>
      </c>
      <c r="BV45" s="63">
        <f>BY45-BS45</f>
        <v>0</v>
      </c>
      <c r="BW45" s="63">
        <f>BZ45-BT45</f>
        <v>0</v>
      </c>
      <c r="BX45" s="15" t="e">
        <f t="shared" ref="BX45:BX46" si="294">(BW45/BV45-1)*100</f>
        <v>#DIV/0!</v>
      </c>
      <c r="BY45" s="66">
        <v>4107</v>
      </c>
      <c r="BZ45" s="66">
        <v>120</v>
      </c>
      <c r="CA45" s="15">
        <f t="shared" ref="CA45:CA46" si="295">(BZ45/BY45-1)*100</f>
        <v>-97.078159240321398</v>
      </c>
      <c r="CB45" s="108"/>
    </row>
    <row r="46" spans="1:80" s="1" customFormat="1" ht="19.5" customHeight="1">
      <c r="A46" s="154"/>
      <c r="B46" s="115"/>
      <c r="C46" s="33" t="s">
        <v>104</v>
      </c>
      <c r="D46" s="17">
        <v>10666</v>
      </c>
      <c r="E46" s="17">
        <v>20459</v>
      </c>
      <c r="F46" s="17">
        <v>1131</v>
      </c>
      <c r="G46" s="17">
        <v>45516</v>
      </c>
      <c r="H46" s="17">
        <f>6158+127791</f>
        <v>133949</v>
      </c>
      <c r="I46" s="17">
        <v>74507</v>
      </c>
      <c r="J46" s="17">
        <v>55886</v>
      </c>
      <c r="K46" s="17">
        <v>13150</v>
      </c>
      <c r="L46" s="17">
        <v>3300</v>
      </c>
      <c r="M46" s="18">
        <f t="shared" si="0"/>
        <v>-74.904942965779469</v>
      </c>
      <c r="N46" s="17">
        <f>Q46-K46</f>
        <v>4387</v>
      </c>
      <c r="O46" s="17">
        <f>R46-L46</f>
        <v>0</v>
      </c>
      <c r="P46" s="18">
        <f t="shared" si="1"/>
        <v>-100</v>
      </c>
      <c r="Q46" s="17">
        <v>17537</v>
      </c>
      <c r="R46" s="17">
        <v>3300</v>
      </c>
      <c r="S46" s="18">
        <f t="shared" si="2"/>
        <v>-81.182642413183558</v>
      </c>
      <c r="T46" s="17">
        <f>W46-Q46</f>
        <v>8851</v>
      </c>
      <c r="U46" s="17">
        <f>X46-R46</f>
        <v>3300</v>
      </c>
      <c r="V46" s="18">
        <f t="shared" si="276"/>
        <v>-62.716077279403457</v>
      </c>
      <c r="W46" s="17">
        <v>26388</v>
      </c>
      <c r="X46" s="17">
        <v>6600</v>
      </c>
      <c r="Y46" s="18">
        <f t="shared" si="277"/>
        <v>-74.988631195998181</v>
      </c>
      <c r="Z46" s="17">
        <f>AC46-W46</f>
        <v>14232</v>
      </c>
      <c r="AA46" s="17">
        <f>AD46-X46</f>
        <v>3300</v>
      </c>
      <c r="AB46" s="18">
        <f t="shared" si="278"/>
        <v>-76.812816188870144</v>
      </c>
      <c r="AC46" s="17">
        <v>40620</v>
      </c>
      <c r="AD46" s="17">
        <v>9900</v>
      </c>
      <c r="AE46" s="18">
        <f t="shared" si="279"/>
        <v>-75.62776957163959</v>
      </c>
      <c r="AF46" s="17">
        <f>AI46-AC46</f>
        <v>2244</v>
      </c>
      <c r="AG46" s="17">
        <f>AJ46-AD46</f>
        <v>3331</v>
      </c>
      <c r="AH46" s="18">
        <f t="shared" si="280"/>
        <v>48.440285204991085</v>
      </c>
      <c r="AI46" s="17">
        <v>42864</v>
      </c>
      <c r="AJ46" s="17">
        <v>13231</v>
      </c>
      <c r="AK46" s="18">
        <f t="shared" si="281"/>
        <v>-69.132605449794696</v>
      </c>
      <c r="AL46" s="17">
        <f>AO46-AI46</f>
        <v>3309</v>
      </c>
      <c r="AM46" s="17">
        <f>AP46-AJ46</f>
        <v>3300</v>
      </c>
      <c r="AN46" s="18">
        <f t="shared" si="282"/>
        <v>-0.27198549410698547</v>
      </c>
      <c r="AO46" s="17">
        <v>46173</v>
      </c>
      <c r="AP46" s="17">
        <v>16531</v>
      </c>
      <c r="AQ46" s="18">
        <f t="shared" si="283"/>
        <v>-64.197691291447384</v>
      </c>
      <c r="AR46" s="17">
        <f>AU46-AO46</f>
        <v>0</v>
      </c>
      <c r="AS46" s="17">
        <f>AV46-AP46</f>
        <v>0</v>
      </c>
      <c r="AT46" s="18" t="e">
        <f t="shared" si="284"/>
        <v>#DIV/0!</v>
      </c>
      <c r="AU46" s="17">
        <v>46173</v>
      </c>
      <c r="AV46" s="17">
        <v>16531</v>
      </c>
      <c r="AW46" s="18">
        <f t="shared" si="285"/>
        <v>-64.197691291447384</v>
      </c>
      <c r="AX46" s="17">
        <f>BA46-AU46</f>
        <v>3300</v>
      </c>
      <c r="AY46" s="17">
        <f>BB46-AV46</f>
        <v>0</v>
      </c>
      <c r="AZ46" s="18">
        <f t="shared" si="286"/>
        <v>-100</v>
      </c>
      <c r="BA46" s="17">
        <v>49473</v>
      </c>
      <c r="BB46" s="17">
        <v>16531</v>
      </c>
      <c r="BC46" s="18">
        <f t="shared" si="287"/>
        <v>-66.585814484668404</v>
      </c>
      <c r="BD46" s="17">
        <f>BG46-BA46</f>
        <v>2200</v>
      </c>
      <c r="BE46" s="17">
        <f>BH46-BB46</f>
        <v>3300</v>
      </c>
      <c r="BF46" s="18">
        <f t="shared" si="288"/>
        <v>50</v>
      </c>
      <c r="BG46" s="17">
        <v>51673</v>
      </c>
      <c r="BH46" s="17">
        <v>19831</v>
      </c>
      <c r="BI46" s="18">
        <f t="shared" si="289"/>
        <v>-61.62212373967062</v>
      </c>
      <c r="BJ46" s="17">
        <f>BM46-BG46</f>
        <v>4213</v>
      </c>
      <c r="BK46" s="17">
        <f>BN46-BH46</f>
        <v>0</v>
      </c>
      <c r="BL46" s="18">
        <f t="shared" si="290"/>
        <v>-100</v>
      </c>
      <c r="BM46" s="17">
        <v>55886</v>
      </c>
      <c r="BN46" s="17">
        <v>19831</v>
      </c>
      <c r="BO46" s="18">
        <f t="shared" si="291"/>
        <v>-64.515263214400747</v>
      </c>
      <c r="BP46" s="17">
        <f>BS46-BM46</f>
        <v>0</v>
      </c>
      <c r="BQ46" s="17">
        <f>BT46-BN46</f>
        <v>2200</v>
      </c>
      <c r="BR46" s="18" t="e">
        <f t="shared" si="292"/>
        <v>#DIV/0!</v>
      </c>
      <c r="BS46" s="17">
        <v>55886</v>
      </c>
      <c r="BT46" s="17">
        <v>22031</v>
      </c>
      <c r="BU46" s="18">
        <f t="shared" si="293"/>
        <v>-60.578678023118492</v>
      </c>
      <c r="BV46" s="17">
        <f>BY46-BS46</f>
        <v>0</v>
      </c>
      <c r="BW46" s="17">
        <f>BZ46-BT46</f>
        <v>0</v>
      </c>
      <c r="BX46" s="18" t="e">
        <f t="shared" si="294"/>
        <v>#DIV/0!</v>
      </c>
      <c r="BY46" s="17">
        <v>55886</v>
      </c>
      <c r="BZ46" s="17">
        <v>22031</v>
      </c>
      <c r="CA46" s="18">
        <f t="shared" si="295"/>
        <v>-60.578678023118492</v>
      </c>
      <c r="CB46" s="108"/>
    </row>
    <row r="47" spans="1:80" s="1" customFormat="1" ht="19.5" customHeight="1">
      <c r="A47" s="155"/>
      <c r="B47" s="116"/>
      <c r="C47" s="93" t="s">
        <v>105</v>
      </c>
      <c r="D47" s="64">
        <f t="shared" ref="D47:L47" si="296">D46/D45</f>
        <v>28.672043010752688</v>
      </c>
      <c r="E47" s="64">
        <f t="shared" si="296"/>
        <v>1203.4705882352941</v>
      </c>
      <c r="F47" s="64" t="e">
        <f t="shared" si="296"/>
        <v>#DIV/0!</v>
      </c>
      <c r="G47" s="64">
        <f t="shared" si="296"/>
        <v>15.151797603195739</v>
      </c>
      <c r="H47" s="64">
        <f>H46/H45</f>
        <v>11.7923232678933</v>
      </c>
      <c r="I47" s="64">
        <f>I46/I45</f>
        <v>10.565371525808281</v>
      </c>
      <c r="J47" s="64">
        <f>J46/J45</f>
        <v>13.607499391283175</v>
      </c>
      <c r="K47" s="64">
        <f t="shared" si="296"/>
        <v>6.5750000000000002</v>
      </c>
      <c r="L47" s="64">
        <f t="shared" si="296"/>
        <v>183.33333333333334</v>
      </c>
      <c r="M47" s="65"/>
      <c r="N47" s="64">
        <f>N46/N45</f>
        <v>243.72222222222223</v>
      </c>
      <c r="O47" s="64" t="e">
        <f>O46/O45</f>
        <v>#DIV/0!</v>
      </c>
      <c r="P47" s="65"/>
      <c r="Q47" s="64">
        <f>Q46/Q45</f>
        <v>8.6902874132804762</v>
      </c>
      <c r="R47" s="64">
        <f>R46/R45</f>
        <v>183.33333333333334</v>
      </c>
      <c r="S47" s="65"/>
      <c r="T47" s="64">
        <f>T46/T45</f>
        <v>632.21428571428567</v>
      </c>
      <c r="U47" s="64">
        <f>U46/U45</f>
        <v>173.68421052631578</v>
      </c>
      <c r="V47" s="65"/>
      <c r="W47" s="64">
        <f>W46/W45</f>
        <v>12.986220472440944</v>
      </c>
      <c r="X47" s="64">
        <f>X46/X45</f>
        <v>178.37837837837839</v>
      </c>
      <c r="Y47" s="65"/>
      <c r="Z47" s="64">
        <f>Z46/Z45</f>
        <v>7.1159999999999997</v>
      </c>
      <c r="AA47" s="64">
        <f>AA46/AA45</f>
        <v>183.33333333333334</v>
      </c>
      <c r="AB47" s="65"/>
      <c r="AC47" s="64">
        <f>AC46/AC45</f>
        <v>10.074404761904763</v>
      </c>
      <c r="AD47" s="64">
        <f>AD46/AD45</f>
        <v>180</v>
      </c>
      <c r="AE47" s="65"/>
      <c r="AF47" s="64">
        <f>AF46/AF45</f>
        <v>224.4</v>
      </c>
      <c r="AG47" s="64">
        <f>AG46/AG45</f>
        <v>166.55</v>
      </c>
      <c r="AH47" s="65"/>
      <c r="AI47" s="64">
        <f>AI46/AI45</f>
        <v>10.604651162790697</v>
      </c>
      <c r="AJ47" s="64">
        <f>AJ46/AJ45</f>
        <v>176.41333333333333</v>
      </c>
      <c r="AK47" s="65"/>
      <c r="AL47" s="64">
        <f>AL46/AL45</f>
        <v>165.45</v>
      </c>
      <c r="AM47" s="64">
        <f>AM46/AM45</f>
        <v>194.11764705882354</v>
      </c>
      <c r="AN47" s="65"/>
      <c r="AO47" s="64">
        <f>AO46/AO45</f>
        <v>11.367060561299851</v>
      </c>
      <c r="AP47" s="64">
        <f>AP46/AP45</f>
        <v>179.68478260869566</v>
      </c>
      <c r="AQ47" s="65"/>
      <c r="AR47" s="64" t="e">
        <f>AR46/AR45</f>
        <v>#DIV/0!</v>
      </c>
      <c r="AS47" s="64" t="e">
        <f>AS46/AS45</f>
        <v>#DIV/0!</v>
      </c>
      <c r="AT47" s="65"/>
      <c r="AU47" s="64">
        <f>AU46/AU45</f>
        <v>11.367060561299851</v>
      </c>
      <c r="AV47" s="64">
        <f>AV46/AV45</f>
        <v>179.68478260869566</v>
      </c>
      <c r="AW47" s="65"/>
      <c r="AX47" s="64">
        <f>AX46/AX45</f>
        <v>183.33333333333334</v>
      </c>
      <c r="AY47" s="64" t="e">
        <f>AY46/AY45</f>
        <v>#DIV/0!</v>
      </c>
      <c r="AZ47" s="65"/>
      <c r="BA47" s="64">
        <f>BA46/BA45</f>
        <v>12.125735294117646</v>
      </c>
      <c r="BB47" s="64">
        <f>BB46/BB45</f>
        <v>179.68478260869566</v>
      </c>
      <c r="BC47" s="65"/>
      <c r="BD47" s="64">
        <f>BD46/BD45</f>
        <v>244.44444444444446</v>
      </c>
      <c r="BE47" s="64">
        <f>BE46/BE45</f>
        <v>183.33333333333334</v>
      </c>
      <c r="BF47" s="65"/>
      <c r="BG47" s="64">
        <f>BG46/BG45</f>
        <v>12.637075079481535</v>
      </c>
      <c r="BH47" s="64">
        <f>BH46/BH45</f>
        <v>180.28181818181818</v>
      </c>
      <c r="BI47" s="65"/>
      <c r="BJ47" s="64">
        <f>BJ46/BJ45</f>
        <v>234.05555555555554</v>
      </c>
      <c r="BK47" s="64" t="e">
        <f>BK46/BK45</f>
        <v>#DIV/0!</v>
      </c>
      <c r="BL47" s="65"/>
      <c r="BM47" s="64">
        <f>BM46/BM45</f>
        <v>13.607499391283175</v>
      </c>
      <c r="BN47" s="64">
        <f>BN46/BN45</f>
        <v>180.28181818181818</v>
      </c>
      <c r="BO47" s="65"/>
      <c r="BP47" s="64" t="e">
        <f>BP46/BP45</f>
        <v>#DIV/0!</v>
      </c>
      <c r="BQ47" s="64">
        <f>BQ46/BQ45</f>
        <v>220</v>
      </c>
      <c r="BR47" s="65"/>
      <c r="BS47" s="64">
        <f>BS46/BS45</f>
        <v>13.607499391283175</v>
      </c>
      <c r="BT47" s="64">
        <f>BT46/BT45</f>
        <v>183.59166666666667</v>
      </c>
      <c r="BU47" s="65"/>
      <c r="BV47" s="64" t="e">
        <f>BV46/BV45</f>
        <v>#DIV/0!</v>
      </c>
      <c r="BW47" s="64" t="e">
        <f>BW46/BW45</f>
        <v>#DIV/0!</v>
      </c>
      <c r="BX47" s="65"/>
      <c r="BY47" s="64">
        <f>BY46/BY45</f>
        <v>13.607499391283175</v>
      </c>
      <c r="BZ47" s="64">
        <f>BZ46/BZ45</f>
        <v>183.59166666666667</v>
      </c>
      <c r="CA47" s="65"/>
      <c r="CB47" s="108"/>
    </row>
    <row r="48" spans="1:80" s="1" customFormat="1" ht="19.5" customHeight="1">
      <c r="A48" s="164" t="s">
        <v>173</v>
      </c>
      <c r="B48" s="133" t="s">
        <v>130</v>
      </c>
      <c r="C48" s="32" t="s">
        <v>42</v>
      </c>
      <c r="D48" s="66">
        <v>44235</v>
      </c>
      <c r="E48" s="66">
        <v>1635</v>
      </c>
      <c r="F48" s="66">
        <v>1151</v>
      </c>
      <c r="G48" s="66">
        <v>1082</v>
      </c>
      <c r="H48" s="66">
        <f>940+524</f>
        <v>1464</v>
      </c>
      <c r="I48" s="66">
        <f>621+491</f>
        <v>1112</v>
      </c>
      <c r="J48" s="66">
        <f>2989+753</f>
        <v>3742</v>
      </c>
      <c r="K48" s="66">
        <f>64+67</f>
        <v>131</v>
      </c>
      <c r="L48" s="66">
        <f>42+81</f>
        <v>123</v>
      </c>
      <c r="M48" s="15">
        <f t="shared" si="0"/>
        <v>-6.1068702290076331</v>
      </c>
      <c r="N48" s="63">
        <f>Q48-K48</f>
        <v>179</v>
      </c>
      <c r="O48" s="63">
        <f>R48-L48</f>
        <v>79</v>
      </c>
      <c r="P48" s="15">
        <f t="shared" si="1"/>
        <v>-55.865921787709503</v>
      </c>
      <c r="Q48" s="66">
        <f>123+187</f>
        <v>310</v>
      </c>
      <c r="R48" s="66">
        <f>78+124</f>
        <v>202</v>
      </c>
      <c r="S48" s="15">
        <f t="shared" si="2"/>
        <v>-34.838709677419352</v>
      </c>
      <c r="T48" s="63">
        <f>W48-Q48</f>
        <v>143</v>
      </c>
      <c r="U48" s="63">
        <f>X48-R48</f>
        <v>63</v>
      </c>
      <c r="V48" s="15">
        <f t="shared" ref="V48:V49" si="297">(U48/T48-1)*100</f>
        <v>-55.94405594405594</v>
      </c>
      <c r="W48" s="66">
        <f>194+259</f>
        <v>453</v>
      </c>
      <c r="X48" s="66">
        <f>82+183</f>
        <v>265</v>
      </c>
      <c r="Y48" s="15">
        <f t="shared" ref="Y48:Y49" si="298">(X48/W48-1)*100</f>
        <v>-41.501103752759384</v>
      </c>
      <c r="Z48" s="63">
        <f>AC48-W48</f>
        <v>150</v>
      </c>
      <c r="AA48" s="63">
        <f>AD48-X48</f>
        <v>104</v>
      </c>
      <c r="AB48" s="15">
        <f t="shared" ref="AB48:AB49" si="299">(AA48/Z48-1)*100</f>
        <v>-30.666666666666664</v>
      </c>
      <c r="AC48" s="66">
        <f>302+301</f>
        <v>603</v>
      </c>
      <c r="AD48" s="66">
        <f>125+244</f>
        <v>369</v>
      </c>
      <c r="AE48" s="15">
        <f t="shared" ref="AE48:AE49" si="300">(AD48/AC48-1)*100</f>
        <v>-38.805970149253731</v>
      </c>
      <c r="AF48" s="63">
        <f>AI48-AC48</f>
        <v>80</v>
      </c>
      <c r="AG48" s="63">
        <f>AJ48-AD48</f>
        <v>216</v>
      </c>
      <c r="AH48" s="15">
        <f t="shared" ref="AH48:AH49" si="301">(AG48/AF48-1)*100</f>
        <v>170.00000000000003</v>
      </c>
      <c r="AI48" s="66">
        <f>311+372</f>
        <v>683</v>
      </c>
      <c r="AJ48" s="66">
        <v>585</v>
      </c>
      <c r="AK48" s="15">
        <f t="shared" ref="AK48:AK49" si="302">(AJ48/AI48-1)*100</f>
        <v>-14.348462664714489</v>
      </c>
      <c r="AL48" s="63">
        <f>AO48-AI48</f>
        <v>2042</v>
      </c>
      <c r="AM48" s="63">
        <f>AP48-AJ48</f>
        <v>148</v>
      </c>
      <c r="AN48" s="15">
        <f t="shared" ref="AN48:AN49" si="303">(AM48/AL48-1)*100</f>
        <v>-92.752203721841326</v>
      </c>
      <c r="AO48" s="66">
        <f>2345+380</f>
        <v>2725</v>
      </c>
      <c r="AP48" s="66">
        <f>360+373</f>
        <v>733</v>
      </c>
      <c r="AQ48" s="15">
        <f t="shared" ref="AQ48:AQ49" si="304">(AP48/AO48-1)*100</f>
        <v>-73.100917431192656</v>
      </c>
      <c r="AR48" s="63">
        <f>AU48-AO48</f>
        <v>204</v>
      </c>
      <c r="AS48" s="63">
        <f>AV48-AP48</f>
        <v>39</v>
      </c>
      <c r="AT48" s="15">
        <f t="shared" ref="AT48:AT49" si="305">(AS48/AR48-1)*100</f>
        <v>-80.882352941176478</v>
      </c>
      <c r="AU48" s="66">
        <f>2476+453</f>
        <v>2929</v>
      </c>
      <c r="AV48" s="66">
        <v>772</v>
      </c>
      <c r="AW48" s="15">
        <f t="shared" ref="AW48:AW49" si="306">(AV48/AU48-1)*100</f>
        <v>-73.642881529532261</v>
      </c>
      <c r="AX48" s="63">
        <f>BA48-AU48</f>
        <v>144</v>
      </c>
      <c r="AY48" s="63">
        <f>BB48-AV48</f>
        <v>98</v>
      </c>
      <c r="AZ48" s="15">
        <f t="shared" ref="AZ48:AZ49" si="307">(AY48/AX48-1)*100</f>
        <v>-31.944444444444443</v>
      </c>
      <c r="BA48" s="66">
        <f>2582+491</f>
        <v>3073</v>
      </c>
      <c r="BB48" s="66">
        <v>870</v>
      </c>
      <c r="BC48" s="15">
        <f t="shared" ref="BC48:BC49" si="308">(BB48/BA48-1)*100</f>
        <v>-71.688903351773519</v>
      </c>
      <c r="BD48" s="63">
        <f>BG48-BA48</f>
        <v>186</v>
      </c>
      <c r="BE48" s="63">
        <f>BH48-BB48</f>
        <v>104</v>
      </c>
      <c r="BF48" s="15">
        <f t="shared" ref="BF48:BF49" si="309">(BE48/BD48-1)*100</f>
        <v>-44.086021505376351</v>
      </c>
      <c r="BG48" s="66">
        <f>2725+534</f>
        <v>3259</v>
      </c>
      <c r="BH48" s="66">
        <v>974</v>
      </c>
      <c r="BI48" s="15">
        <f t="shared" ref="BI48:BI49" si="310">(BH48/BG48-1)*100</f>
        <v>-70.11353175820804</v>
      </c>
      <c r="BJ48" s="63">
        <f>BM48-BG48</f>
        <v>284</v>
      </c>
      <c r="BK48" s="63">
        <f>BN48-BH48</f>
        <v>205</v>
      </c>
      <c r="BL48" s="15">
        <f t="shared" ref="BL48:BL49" si="311">(BK48/BJ48-1)*100</f>
        <v>-27.8169014084507</v>
      </c>
      <c r="BM48" s="66">
        <f>2929+614</f>
        <v>3543</v>
      </c>
      <c r="BN48" s="66">
        <v>1179</v>
      </c>
      <c r="BO48" s="15">
        <f t="shared" ref="BO48:BO49" si="312">(BN48/BM48-1)*100</f>
        <v>-66.723116003386963</v>
      </c>
      <c r="BP48" s="63">
        <f>BS48-BM48</f>
        <v>141</v>
      </c>
      <c r="BQ48" s="63">
        <f>BT48-BN48</f>
        <v>108</v>
      </c>
      <c r="BR48" s="15">
        <f t="shared" ref="BR48:BR49" si="313">(BQ48/BP48-1)*100</f>
        <v>-23.404255319148938</v>
      </c>
      <c r="BS48" s="66">
        <f>2950+734</f>
        <v>3684</v>
      </c>
      <c r="BT48" s="66">
        <v>1287</v>
      </c>
      <c r="BU48" s="15">
        <f t="shared" ref="BU48:BU49" si="314">(BT48/BS48-1)*100</f>
        <v>-65.065146579804562</v>
      </c>
      <c r="BV48" s="63">
        <f>BY48-BS48</f>
        <v>58</v>
      </c>
      <c r="BW48" s="63">
        <f>BZ48-BT48</f>
        <v>72</v>
      </c>
      <c r="BX48" s="15">
        <f t="shared" ref="BX48:BX49" si="315">(BW48/BV48-1)*100</f>
        <v>24.137931034482762</v>
      </c>
      <c r="BY48" s="66">
        <f>2989+753</f>
        <v>3742</v>
      </c>
      <c r="BZ48" s="66">
        <v>1359</v>
      </c>
      <c r="CA48" s="15">
        <f t="shared" ref="CA48:CA49" si="316">(BZ48/BY48-1)*100</f>
        <v>-63.6825227151256</v>
      </c>
      <c r="CB48" s="108"/>
    </row>
    <row r="49" spans="1:80" s="1" customFormat="1" ht="19.5" customHeight="1">
      <c r="A49" s="154"/>
      <c r="B49" s="167"/>
      <c r="C49" s="33" t="s">
        <v>104</v>
      </c>
      <c r="D49" s="17">
        <v>4609581</v>
      </c>
      <c r="E49" s="17">
        <v>3014140</v>
      </c>
      <c r="F49" s="17">
        <v>2316353</v>
      </c>
      <c r="G49" s="17">
        <v>2643112</v>
      </c>
      <c r="H49" s="17">
        <f>3039994+1040470</f>
        <v>4080464</v>
      </c>
      <c r="I49" s="17">
        <f>1722393+1046778</f>
        <v>2769171</v>
      </c>
      <c r="J49" s="17">
        <f>3392448+1581315</f>
        <v>4973763</v>
      </c>
      <c r="K49" s="17">
        <f>179871+239512</f>
        <v>419383</v>
      </c>
      <c r="L49" s="17">
        <f>123125+138928</f>
        <v>262053</v>
      </c>
      <c r="M49" s="18">
        <f t="shared" si="0"/>
        <v>-37.514634594153797</v>
      </c>
      <c r="N49" s="17">
        <f>Q49-K49</f>
        <v>355082</v>
      </c>
      <c r="O49" s="17">
        <f>R49-L49</f>
        <v>166455</v>
      </c>
      <c r="P49" s="18">
        <f t="shared" si="1"/>
        <v>-53.122095741265397</v>
      </c>
      <c r="Q49" s="17">
        <f>371759+402706</f>
        <v>774465</v>
      </c>
      <c r="R49" s="17">
        <f>203442+225066</f>
        <v>428508</v>
      </c>
      <c r="S49" s="18">
        <f t="shared" si="2"/>
        <v>-44.670449923495568</v>
      </c>
      <c r="T49" s="17">
        <f>W49-Q49</f>
        <v>349725</v>
      </c>
      <c r="U49" s="17">
        <f>X49-R49</f>
        <v>128122</v>
      </c>
      <c r="V49" s="18">
        <f t="shared" si="297"/>
        <v>-63.364929587533055</v>
      </c>
      <c r="W49" s="17">
        <f>607623+516567</f>
        <v>1124190</v>
      </c>
      <c r="X49" s="17">
        <f>225427+331203</f>
        <v>556630</v>
      </c>
      <c r="Y49" s="18">
        <f t="shared" si="298"/>
        <v>-50.48612778978643</v>
      </c>
      <c r="Z49" s="17">
        <f>AC49-W49</f>
        <v>334404</v>
      </c>
      <c r="AA49" s="17">
        <f>AD49-X49</f>
        <v>192046</v>
      </c>
      <c r="AB49" s="18">
        <f t="shared" si="299"/>
        <v>-42.570663030346523</v>
      </c>
      <c r="AC49" s="17">
        <f>853377+605217</f>
        <v>1458594</v>
      </c>
      <c r="AD49" s="17">
        <f>320971+427705</f>
        <v>748676</v>
      </c>
      <c r="AE49" s="18">
        <f t="shared" si="300"/>
        <v>-48.67139176494625</v>
      </c>
      <c r="AF49" s="17">
        <f>AI49-AC49</f>
        <v>161240</v>
      </c>
      <c r="AG49" s="17">
        <f>AJ49-AD49</f>
        <v>815801</v>
      </c>
      <c r="AH49" s="18">
        <f t="shared" si="301"/>
        <v>405.95447779707268</v>
      </c>
      <c r="AI49" s="17">
        <f>870092+749742</f>
        <v>1619834</v>
      </c>
      <c r="AJ49" s="17">
        <f>931601+632876</f>
        <v>1564477</v>
      </c>
      <c r="AK49" s="18">
        <f t="shared" si="302"/>
        <v>-3.4174489484725012</v>
      </c>
      <c r="AL49" s="17">
        <f>AO49-AI49</f>
        <v>157079</v>
      </c>
      <c r="AM49" s="17">
        <f>AP49-AJ49</f>
        <v>372004</v>
      </c>
      <c r="AN49" s="18">
        <f t="shared" si="303"/>
        <v>136.82605567898952</v>
      </c>
      <c r="AO49" s="17">
        <f>1006361+770552</f>
        <v>1776913</v>
      </c>
      <c r="AP49" s="17">
        <f>1299666+636815</f>
        <v>1936481</v>
      </c>
      <c r="AQ49" s="18">
        <f t="shared" si="304"/>
        <v>8.980068241945439</v>
      </c>
      <c r="AR49" s="17">
        <f>AU49-AO49</f>
        <v>653125</v>
      </c>
      <c r="AS49" s="17">
        <f>AV49-AP49</f>
        <v>109406</v>
      </c>
      <c r="AT49" s="18">
        <f t="shared" si="305"/>
        <v>-83.248842105263151</v>
      </c>
      <c r="AU49" s="17">
        <f>1514308+915730</f>
        <v>2430038</v>
      </c>
      <c r="AV49" s="17">
        <f>1353349+692538</f>
        <v>2045887</v>
      </c>
      <c r="AW49" s="18">
        <f t="shared" si="306"/>
        <v>-15.808435917463015</v>
      </c>
      <c r="AX49" s="17">
        <f>BA49-AU49</f>
        <v>442174</v>
      </c>
      <c r="AY49" s="17">
        <f>BB49-AV49</f>
        <v>173897</v>
      </c>
      <c r="AZ49" s="18">
        <f t="shared" si="307"/>
        <v>-60.672269287655986</v>
      </c>
      <c r="BA49" s="17">
        <f>1880547+991665</f>
        <v>2872212</v>
      </c>
      <c r="BB49" s="17">
        <f>1438294+781490</f>
        <v>2219784</v>
      </c>
      <c r="BC49" s="18">
        <f t="shared" si="308"/>
        <v>-22.715175620741089</v>
      </c>
      <c r="BD49" s="17">
        <f>BG49-BA49</f>
        <v>733205</v>
      </c>
      <c r="BE49" s="17">
        <f>BH49-BB49</f>
        <v>268339</v>
      </c>
      <c r="BF49" s="18">
        <f t="shared" si="309"/>
        <v>-63.401913516683607</v>
      </c>
      <c r="BG49" s="17">
        <f>2529273+1076144</f>
        <v>3605417</v>
      </c>
      <c r="BH49" s="17">
        <f>1629169+858954</f>
        <v>2488123</v>
      </c>
      <c r="BI49" s="18">
        <f t="shared" si="310"/>
        <v>-30.989314134814361</v>
      </c>
      <c r="BJ49" s="17">
        <f>BM49-BG49</f>
        <v>877587</v>
      </c>
      <c r="BK49" s="17">
        <f>BN49-BH49</f>
        <v>273176</v>
      </c>
      <c r="BL49" s="18">
        <f t="shared" si="311"/>
        <v>-68.871918111822538</v>
      </c>
      <c r="BM49" s="17">
        <f>3221539+1261465</f>
        <v>4483004</v>
      </c>
      <c r="BN49" s="17">
        <v>2761299</v>
      </c>
      <c r="BO49" s="18">
        <f t="shared" si="312"/>
        <v>-38.405163145069686</v>
      </c>
      <c r="BP49" s="17">
        <f>BS49-BM49</f>
        <v>311651</v>
      </c>
      <c r="BQ49" s="17">
        <f>BT49-BN49</f>
        <v>223203</v>
      </c>
      <c r="BR49" s="18">
        <f t="shared" si="313"/>
        <v>-28.380464044716692</v>
      </c>
      <c r="BS49" s="17">
        <f>3308562+1486093</f>
        <v>4794655</v>
      </c>
      <c r="BT49" s="17">
        <f>1774390+1210112</f>
        <v>2984502</v>
      </c>
      <c r="BU49" s="18">
        <f t="shared" si="314"/>
        <v>-37.753560996568055</v>
      </c>
      <c r="BV49" s="17">
        <f>BY49-BS49</f>
        <v>179108</v>
      </c>
      <c r="BW49" s="17">
        <f>BZ49-BT49</f>
        <v>111810</v>
      </c>
      <c r="BX49" s="18">
        <f t="shared" si="315"/>
        <v>-37.573977711771668</v>
      </c>
      <c r="BY49" s="17">
        <f>3392448+1581315</f>
        <v>4973763</v>
      </c>
      <c r="BZ49" s="17">
        <f>1779326+1316986</f>
        <v>3096312</v>
      </c>
      <c r="CA49" s="18">
        <f t="shared" si="316"/>
        <v>-37.747094101588672</v>
      </c>
      <c r="CB49" s="108"/>
    </row>
    <row r="50" spans="1:80" s="1" customFormat="1" ht="19.5" customHeight="1">
      <c r="A50" s="155"/>
      <c r="B50" s="168"/>
      <c r="C50" s="93" t="s">
        <v>105</v>
      </c>
      <c r="D50" s="64">
        <f t="shared" ref="D50:L50" si="317">D49/D48</f>
        <v>104.2066463207867</v>
      </c>
      <c r="E50" s="64">
        <f t="shared" si="317"/>
        <v>1843.5107033639144</v>
      </c>
      <c r="F50" s="64">
        <f t="shared" si="317"/>
        <v>2012.4700260642919</v>
      </c>
      <c r="G50" s="64">
        <f t="shared" si="317"/>
        <v>2442.8022181146025</v>
      </c>
      <c r="H50" s="64">
        <f>H49/H48</f>
        <v>2787.2021857923496</v>
      </c>
      <c r="I50" s="64">
        <f>I49/I48</f>
        <v>2490.2616906474818</v>
      </c>
      <c r="J50" s="64">
        <f>J49/J48</f>
        <v>1329.1723677177979</v>
      </c>
      <c r="K50" s="64">
        <f t="shared" si="317"/>
        <v>3201.3969465648856</v>
      </c>
      <c r="L50" s="64">
        <f t="shared" si="317"/>
        <v>2130.5121951219512</v>
      </c>
      <c r="M50" s="65"/>
      <c r="N50" s="64">
        <f>N49/N48</f>
        <v>1983.6983240223465</v>
      </c>
      <c r="O50" s="64">
        <f>O49/O48</f>
        <v>2107.0253164556962</v>
      </c>
      <c r="P50" s="65"/>
      <c r="Q50" s="64">
        <f>Q49/Q48</f>
        <v>2498.2741935483873</v>
      </c>
      <c r="R50" s="64">
        <f>R49/R48</f>
        <v>2121.3267326732675</v>
      </c>
      <c r="S50" s="65"/>
      <c r="T50" s="64">
        <f>T49/T48</f>
        <v>2445.6293706293704</v>
      </c>
      <c r="U50" s="64">
        <f>U49/U48</f>
        <v>2033.6825396825398</v>
      </c>
      <c r="V50" s="65"/>
      <c r="W50" s="64">
        <f>W49/W48</f>
        <v>2481.655629139073</v>
      </c>
      <c r="X50" s="64">
        <f>X49/X48</f>
        <v>2100.4905660377358</v>
      </c>
      <c r="Y50" s="65"/>
      <c r="Z50" s="64">
        <f>Z49/Z48</f>
        <v>2229.36</v>
      </c>
      <c r="AA50" s="64">
        <f>AA49/AA48</f>
        <v>1846.5961538461538</v>
      </c>
      <c r="AB50" s="65"/>
      <c r="AC50" s="64">
        <f>AC49/AC48</f>
        <v>2418.8955223880598</v>
      </c>
      <c r="AD50" s="64">
        <f>AD49/AD48</f>
        <v>2028.9322493224931</v>
      </c>
      <c r="AE50" s="65"/>
      <c r="AF50" s="64">
        <f>AF49/AF48</f>
        <v>2015.5</v>
      </c>
      <c r="AG50" s="64">
        <f>AG49/AG48</f>
        <v>3776.8564814814813</v>
      </c>
      <c r="AH50" s="65"/>
      <c r="AI50" s="64">
        <f>AI49/AI48</f>
        <v>2371.6456808199123</v>
      </c>
      <c r="AJ50" s="64">
        <f>AJ49/AJ48</f>
        <v>2674.319658119658</v>
      </c>
      <c r="AK50" s="65"/>
      <c r="AL50" s="64">
        <f>AL49/AL48</f>
        <v>76.924094025465237</v>
      </c>
      <c r="AM50" s="64">
        <f>AM49/AM48</f>
        <v>2513.5405405405404</v>
      </c>
      <c r="AN50" s="65"/>
      <c r="AO50" s="64">
        <f>AO49/AO48</f>
        <v>652.07816513761463</v>
      </c>
      <c r="AP50" s="64">
        <f>AP49/AP48</f>
        <v>2641.8567530695773</v>
      </c>
      <c r="AQ50" s="65"/>
      <c r="AR50" s="64">
        <f>AR49/AR48</f>
        <v>3201.5931372549021</v>
      </c>
      <c r="AS50" s="64">
        <f>AS49/AS48</f>
        <v>2805.2820512820513</v>
      </c>
      <c r="AT50" s="65"/>
      <c r="AU50" s="64">
        <f>AU49/AU48</f>
        <v>829.64766131785598</v>
      </c>
      <c r="AV50" s="64">
        <f>AV49/AV48</f>
        <v>2650.1126943005183</v>
      </c>
      <c r="AW50" s="65"/>
      <c r="AX50" s="64">
        <f>AX49/AX48</f>
        <v>3070.6527777777778</v>
      </c>
      <c r="AY50" s="64">
        <f>AY49/AY48</f>
        <v>1774.4591836734694</v>
      </c>
      <c r="AZ50" s="65"/>
      <c r="BA50" s="64">
        <f>BA49/BA48</f>
        <v>934.66059225512527</v>
      </c>
      <c r="BB50" s="64">
        <f>BB49/BB48</f>
        <v>2551.4758620689654</v>
      </c>
      <c r="BC50" s="65"/>
      <c r="BD50" s="64">
        <f>BD49/BD48</f>
        <v>3941.9623655913979</v>
      </c>
      <c r="BE50" s="64">
        <f>BE49/BE48</f>
        <v>2580.1826923076924</v>
      </c>
      <c r="BF50" s="65"/>
      <c r="BG50" s="64">
        <f>BG49/BG48</f>
        <v>1106.2954894139307</v>
      </c>
      <c r="BH50" s="64">
        <f>BH49/BH48</f>
        <v>2554.541067761807</v>
      </c>
      <c r="BI50" s="65"/>
      <c r="BJ50" s="64">
        <f>BJ49/BJ48</f>
        <v>3090.0950704225352</v>
      </c>
      <c r="BK50" s="64">
        <f>BK49/BK48</f>
        <v>1332.5658536585365</v>
      </c>
      <c r="BL50" s="65"/>
      <c r="BM50" s="64">
        <f>BM49/BM48</f>
        <v>1265.313011572114</v>
      </c>
      <c r="BN50" s="64">
        <f>BN49/BN48</f>
        <v>2342.0687022900765</v>
      </c>
      <c r="BO50" s="65"/>
      <c r="BP50" s="64">
        <f>BP49/BP48</f>
        <v>2210.2907801418442</v>
      </c>
      <c r="BQ50" s="64">
        <f>BQ49/BQ48</f>
        <v>2066.6944444444443</v>
      </c>
      <c r="BR50" s="65"/>
      <c r="BS50" s="64">
        <f>BS49/BS48</f>
        <v>1301.4807274701411</v>
      </c>
      <c r="BT50" s="64">
        <f>BT49/BT48</f>
        <v>2318.9603729603728</v>
      </c>
      <c r="BU50" s="65"/>
      <c r="BV50" s="64">
        <f>BV49/BV48</f>
        <v>3088.0689655172414</v>
      </c>
      <c r="BW50" s="64">
        <f>BW49/BW48</f>
        <v>1552.9166666666667</v>
      </c>
      <c r="BX50" s="65"/>
      <c r="BY50" s="64">
        <f>BY49/BY48</f>
        <v>1329.1723677177979</v>
      </c>
      <c r="BZ50" s="64">
        <f>BZ49/BZ48</f>
        <v>2278.37527593819</v>
      </c>
      <c r="CA50" s="65"/>
      <c r="CB50" s="108"/>
    </row>
    <row r="51" spans="1:80" s="2" customFormat="1" ht="19.5" customHeight="1">
      <c r="A51" s="164" t="s">
        <v>174</v>
      </c>
      <c r="B51" s="133" t="s">
        <v>131</v>
      </c>
      <c r="C51" s="32" t="s">
        <v>42</v>
      </c>
      <c r="D51" s="66">
        <v>993</v>
      </c>
      <c r="E51" s="66">
        <v>5491</v>
      </c>
      <c r="F51" s="66">
        <v>7720</v>
      </c>
      <c r="G51" s="66">
        <v>3686</v>
      </c>
      <c r="H51" s="66">
        <f>876+4059</f>
        <v>4935</v>
      </c>
      <c r="I51" s="66">
        <f>111+12155</f>
        <v>12266</v>
      </c>
      <c r="J51" s="66">
        <f>23+12891</f>
        <v>12914</v>
      </c>
      <c r="K51" s="66">
        <f>1+12</f>
        <v>13</v>
      </c>
      <c r="L51" s="66">
        <f>2+40</f>
        <v>42</v>
      </c>
      <c r="M51" s="15">
        <f t="shared" si="0"/>
        <v>223.07692307692309</v>
      </c>
      <c r="N51" s="63">
        <f>Q51-K51</f>
        <v>4</v>
      </c>
      <c r="O51" s="63">
        <f>R51-L51</f>
        <v>1</v>
      </c>
      <c r="P51" s="15">
        <f t="shared" si="1"/>
        <v>-75</v>
      </c>
      <c r="Q51" s="66">
        <v>17</v>
      </c>
      <c r="R51" s="66">
        <f>3+40</f>
        <v>43</v>
      </c>
      <c r="S51" s="15">
        <f t="shared" si="2"/>
        <v>152.94117647058823</v>
      </c>
      <c r="T51" s="63">
        <f>W51-Q51</f>
        <v>17</v>
      </c>
      <c r="U51" s="63">
        <f>X51-R51</f>
        <v>50</v>
      </c>
      <c r="V51" s="15">
        <f t="shared" ref="V51:V52" si="318">(U51/T51-1)*100</f>
        <v>194.11764705882354</v>
      </c>
      <c r="W51" s="66">
        <f>5+29</f>
        <v>34</v>
      </c>
      <c r="X51" s="66">
        <f>3+90</f>
        <v>93</v>
      </c>
      <c r="Y51" s="15">
        <f t="shared" ref="Y51:Y52" si="319">(X51/W51-1)*100</f>
        <v>173.52941176470588</v>
      </c>
      <c r="Z51" s="63">
        <f>AC51-W51</f>
        <v>8</v>
      </c>
      <c r="AA51" s="63">
        <f>AD51-X51</f>
        <v>3502</v>
      </c>
      <c r="AB51" s="15">
        <f t="shared" ref="AB51:AB52" si="320">(AA51/Z51-1)*100</f>
        <v>43675</v>
      </c>
      <c r="AC51" s="66">
        <f>11+31</f>
        <v>42</v>
      </c>
      <c r="AD51" s="66">
        <f>157+3438</f>
        <v>3595</v>
      </c>
      <c r="AE51" s="15">
        <f t="shared" ref="AE51:AE52" si="321">(AD51/AC51-1)*100</f>
        <v>8459.523809523811</v>
      </c>
      <c r="AF51" s="63">
        <f>AI51-AC51</f>
        <v>1</v>
      </c>
      <c r="AG51" s="63">
        <f>AJ51-AD51</f>
        <v>274</v>
      </c>
      <c r="AH51" s="15">
        <f t="shared" ref="AH51:AH52" si="322">(AG51/AF51-1)*100</f>
        <v>27300</v>
      </c>
      <c r="AI51" s="66">
        <f>11+32</f>
        <v>43</v>
      </c>
      <c r="AJ51" s="66">
        <v>3869</v>
      </c>
      <c r="AK51" s="15">
        <f t="shared" ref="AK51:AK52" si="323">(AJ51/AI51-1)*100</f>
        <v>8897.6744186046526</v>
      </c>
      <c r="AL51" s="63">
        <f>AO51-AI51</f>
        <v>6955</v>
      </c>
      <c r="AM51" s="63">
        <f>AP51-AJ51</f>
        <v>5001</v>
      </c>
      <c r="AN51" s="15">
        <f t="shared" ref="AN51:AN52" si="324">(AM51/AL51-1)*100</f>
        <v>-28.094895758447159</v>
      </c>
      <c r="AO51" s="66">
        <f>15+6983</f>
        <v>6998</v>
      </c>
      <c r="AP51" s="66">
        <v>8870</v>
      </c>
      <c r="AQ51" s="15">
        <f t="shared" ref="AQ51:AQ52" si="325">(AP51/AO51-1)*100</f>
        <v>26.75050014289797</v>
      </c>
      <c r="AR51" s="63">
        <f>AU51-AO51</f>
        <v>12</v>
      </c>
      <c r="AS51" s="63">
        <f>AV51-AP51</f>
        <v>77</v>
      </c>
      <c r="AT51" s="15">
        <f t="shared" ref="AT51:AT52" si="326">(AS51/AR51-1)*100</f>
        <v>541.66666666666674</v>
      </c>
      <c r="AU51" s="66">
        <f>17+6993</f>
        <v>7010</v>
      </c>
      <c r="AV51" s="66">
        <v>8947</v>
      </c>
      <c r="AW51" s="15">
        <f t="shared" ref="AW51:AW52" si="327">(AV51/AU51-1)*100</f>
        <v>27.631954350927245</v>
      </c>
      <c r="AX51" s="63">
        <f>BA51-AU51</f>
        <v>2</v>
      </c>
      <c r="AY51" s="63">
        <f>BB51-AV51</f>
        <v>1</v>
      </c>
      <c r="AZ51" s="15">
        <f t="shared" ref="AZ51:AZ52" si="328">(AY51/AX51-1)*100</f>
        <v>-50</v>
      </c>
      <c r="BA51" s="66">
        <f>17+6995</f>
        <v>7012</v>
      </c>
      <c r="BB51" s="66">
        <v>8948</v>
      </c>
      <c r="BC51" s="15">
        <f t="shared" ref="BC51:BC52" si="329">(BB51/BA51-1)*100</f>
        <v>27.609811751283519</v>
      </c>
      <c r="BD51" s="63">
        <f>BG51-BA51</f>
        <v>3000</v>
      </c>
      <c r="BE51" s="63">
        <f>BH51-BB51</f>
        <v>4</v>
      </c>
      <c r="BF51" s="15">
        <f t="shared" ref="BF51:BF52" si="330">(BE51/BD51-1)*100</f>
        <v>-99.866666666666674</v>
      </c>
      <c r="BG51" s="66">
        <f>17+9995</f>
        <v>10012</v>
      </c>
      <c r="BH51" s="66">
        <v>8952</v>
      </c>
      <c r="BI51" s="15">
        <f t="shared" ref="BI51:BI52" si="331">(BH51/BG51-1)*100</f>
        <v>-10.587295245705153</v>
      </c>
      <c r="BJ51" s="63">
        <f>BM51-BG51</f>
        <v>2883</v>
      </c>
      <c r="BK51" s="63">
        <f>BN51-BH51</f>
        <v>44</v>
      </c>
      <c r="BL51" s="15">
        <f t="shared" ref="BL51:BL52" si="332">(BK51/BJ51-1)*100</f>
        <v>-98.473812001387444</v>
      </c>
      <c r="BM51" s="66">
        <f>19+12876</f>
        <v>12895</v>
      </c>
      <c r="BN51" s="66">
        <v>8996</v>
      </c>
      <c r="BO51" s="15">
        <f t="shared" ref="BO51:BO52" si="333">(BN51/BM51-1)*100</f>
        <v>-30.236525785188061</v>
      </c>
      <c r="BP51" s="63">
        <f>BS51-BM51</f>
        <v>2</v>
      </c>
      <c r="BQ51" s="63">
        <f>BT51-BN51</f>
        <v>1003</v>
      </c>
      <c r="BR51" s="15">
        <f t="shared" ref="BR51:BR52" si="334">(BQ51/BP51-1)*100</f>
        <v>50050</v>
      </c>
      <c r="BS51" s="66">
        <f>21+12876</f>
        <v>12897</v>
      </c>
      <c r="BT51" s="66">
        <v>9999</v>
      </c>
      <c r="BU51" s="15">
        <f t="shared" ref="BU51:BU52" si="335">(BT51/BS51-1)*100</f>
        <v>-22.470341939986039</v>
      </c>
      <c r="BV51" s="63">
        <f>BY51-BS51</f>
        <v>17</v>
      </c>
      <c r="BW51" s="63">
        <f>BZ51-BT51</f>
        <v>105</v>
      </c>
      <c r="BX51" s="15">
        <f t="shared" ref="BX51:BX52" si="336">(BW51/BV51-1)*100</f>
        <v>517.64705882352939</v>
      </c>
      <c r="BY51" s="66">
        <f>23+12891</f>
        <v>12914</v>
      </c>
      <c r="BZ51" s="66">
        <v>10104</v>
      </c>
      <c r="CA51" s="15">
        <f t="shared" ref="CA51:CA52" si="337">(BZ51/BY51-1)*100</f>
        <v>-21.759330958649524</v>
      </c>
      <c r="CB51" s="108"/>
    </row>
    <row r="52" spans="1:80" s="2" customFormat="1" ht="19.5" customHeight="1">
      <c r="A52" s="154"/>
      <c r="B52" s="167"/>
      <c r="C52" s="33" t="s">
        <v>104</v>
      </c>
      <c r="D52" s="17">
        <v>160258</v>
      </c>
      <c r="E52" s="17">
        <v>283599</v>
      </c>
      <c r="F52" s="17">
        <v>413181</v>
      </c>
      <c r="G52" s="17">
        <v>259046</v>
      </c>
      <c r="H52" s="17">
        <f>46631+150251</f>
        <v>196882</v>
      </c>
      <c r="I52" s="17">
        <f>39849+295624</f>
        <v>335473</v>
      </c>
      <c r="J52" s="17">
        <f>41659+321171</f>
        <v>362830</v>
      </c>
      <c r="K52" s="17">
        <f>1840+2655</f>
        <v>4495</v>
      </c>
      <c r="L52" s="17">
        <f>3889+12969</f>
        <v>16858</v>
      </c>
      <c r="M52" s="18">
        <f t="shared" si="0"/>
        <v>275.03893214682978</v>
      </c>
      <c r="N52" s="17">
        <f>Q52-K52</f>
        <v>5033</v>
      </c>
      <c r="O52" s="17">
        <f>R52-L52</f>
        <v>2562</v>
      </c>
      <c r="P52" s="18">
        <f t="shared" si="1"/>
        <v>-49.095966620305973</v>
      </c>
      <c r="Q52" s="17">
        <f>5839+3689</f>
        <v>9528</v>
      </c>
      <c r="R52" s="17">
        <f>6451+12969</f>
        <v>19420</v>
      </c>
      <c r="S52" s="18">
        <f t="shared" si="2"/>
        <v>103.82031905961378</v>
      </c>
      <c r="T52" s="17">
        <f>W52-Q52</f>
        <v>6288</v>
      </c>
      <c r="U52" s="17">
        <f>X52-R52</f>
        <v>10857</v>
      </c>
      <c r="V52" s="18">
        <f t="shared" si="318"/>
        <v>72.662213740458029</v>
      </c>
      <c r="W52" s="17">
        <f>11778+4038</f>
        <v>15816</v>
      </c>
      <c r="X52" s="17">
        <f>7074+23203</f>
        <v>30277</v>
      </c>
      <c r="Y52" s="18">
        <f t="shared" si="319"/>
        <v>91.43272635306019</v>
      </c>
      <c r="Z52" s="17">
        <f>AC52-W52</f>
        <v>14471</v>
      </c>
      <c r="AA52" s="17">
        <f>AD52-X52</f>
        <v>109259</v>
      </c>
      <c r="AB52" s="18">
        <f t="shared" si="320"/>
        <v>655.02038559878372</v>
      </c>
      <c r="AC52" s="17">
        <f>16609+13678</f>
        <v>30287</v>
      </c>
      <c r="AD52" s="17">
        <f>30299+109237</f>
        <v>139536</v>
      </c>
      <c r="AE52" s="18">
        <f t="shared" si="321"/>
        <v>360.71251692145142</v>
      </c>
      <c r="AF52" s="17">
        <f>AI52-AC52</f>
        <v>916</v>
      </c>
      <c r="AG52" s="17">
        <f>AJ52-AD52</f>
        <v>44803</v>
      </c>
      <c r="AH52" s="18">
        <f t="shared" si="322"/>
        <v>4791.1572052401743</v>
      </c>
      <c r="AI52" s="17">
        <f>16643+14560</f>
        <v>31203</v>
      </c>
      <c r="AJ52" s="17">
        <f>60386+123953</f>
        <v>184339</v>
      </c>
      <c r="AK52" s="18">
        <f t="shared" si="323"/>
        <v>490.7733230779092</v>
      </c>
      <c r="AL52" s="17">
        <f>AO52-AI52</f>
        <v>170474</v>
      </c>
      <c r="AM52" s="17">
        <f>AP52-AJ52</f>
        <v>91290</v>
      </c>
      <c r="AN52" s="18">
        <f t="shared" si="324"/>
        <v>-46.449311918533034</v>
      </c>
      <c r="AO52" s="17">
        <f>21702+179975</f>
        <v>201677</v>
      </c>
      <c r="AP52" s="17">
        <f>151460+124169</f>
        <v>275629</v>
      </c>
      <c r="AQ52" s="18">
        <f t="shared" si="325"/>
        <v>36.668534339562761</v>
      </c>
      <c r="AR52" s="17">
        <f>AU52-AO52</f>
        <v>12024</v>
      </c>
      <c r="AS52" s="17">
        <f>AV52-AP52</f>
        <v>17834</v>
      </c>
      <c r="AT52" s="18">
        <f t="shared" si="326"/>
        <v>48.320026613439794</v>
      </c>
      <c r="AU52" s="17">
        <f>30446+183255</f>
        <v>213701</v>
      </c>
      <c r="AV52" s="17">
        <f>161060+132403</f>
        <v>293463</v>
      </c>
      <c r="AW52" s="18">
        <f t="shared" si="327"/>
        <v>37.324111726196875</v>
      </c>
      <c r="AX52" s="17">
        <f>BA52-AU52</f>
        <v>6178</v>
      </c>
      <c r="AY52" s="17">
        <f>BB52-AV52</f>
        <v>4323</v>
      </c>
      <c r="AZ52" s="18">
        <f t="shared" si="328"/>
        <v>-30.025898348980252</v>
      </c>
      <c r="BA52" s="17">
        <f>30446+189433</f>
        <v>219879</v>
      </c>
      <c r="BB52" s="17">
        <f>163400+134386</f>
        <v>297786</v>
      </c>
      <c r="BC52" s="18">
        <f t="shared" si="329"/>
        <v>35.431760195380193</v>
      </c>
      <c r="BD52" s="17">
        <f>BG52-BA52</f>
        <v>59202</v>
      </c>
      <c r="BE52" s="17">
        <f>BH52-BB52</f>
        <v>4484</v>
      </c>
      <c r="BF52" s="18">
        <f t="shared" si="330"/>
        <v>-92.425931556366336</v>
      </c>
      <c r="BG52" s="17">
        <f>30446+248635</f>
        <v>279081</v>
      </c>
      <c r="BH52" s="17">
        <f>164367+137903</f>
        <v>302270</v>
      </c>
      <c r="BI52" s="18">
        <f t="shared" si="331"/>
        <v>8.3090572271132821</v>
      </c>
      <c r="BJ52" s="17">
        <f>BM52-BG52</f>
        <v>68712</v>
      </c>
      <c r="BK52" s="17">
        <f>BN52-BH52</f>
        <v>31820</v>
      </c>
      <c r="BL52" s="18">
        <f t="shared" si="332"/>
        <v>-53.690767260449412</v>
      </c>
      <c r="BM52" s="17">
        <f>34297+313496</f>
        <v>347793</v>
      </c>
      <c r="BN52" s="17">
        <v>334090</v>
      </c>
      <c r="BO52" s="18">
        <f t="shared" si="333"/>
        <v>-3.9399872912910805</v>
      </c>
      <c r="BP52" s="17">
        <f>BS52-BM52</f>
        <v>4536</v>
      </c>
      <c r="BQ52" s="17">
        <f>BT52-BN52</f>
        <v>9136</v>
      </c>
      <c r="BR52" s="18">
        <f t="shared" si="334"/>
        <v>101.41093474426808</v>
      </c>
      <c r="BS52" s="17">
        <f>37944+314385</f>
        <v>352329</v>
      </c>
      <c r="BT52" s="17">
        <f>185463+157763</f>
        <v>343226</v>
      </c>
      <c r="BU52" s="18">
        <f t="shared" si="335"/>
        <v>-2.5836646997550616</v>
      </c>
      <c r="BV52" s="17">
        <f>BY52-BS52</f>
        <v>10501</v>
      </c>
      <c r="BW52" s="17">
        <f>BZ52-BT52</f>
        <v>14772</v>
      </c>
      <c r="BX52" s="18">
        <f t="shared" si="336"/>
        <v>40.672316922197879</v>
      </c>
      <c r="BY52" s="17">
        <f>41659+321171</f>
        <v>362830</v>
      </c>
      <c r="BZ52" s="17">
        <f>185762+172236</f>
        <v>357998</v>
      </c>
      <c r="CA52" s="18">
        <f t="shared" si="337"/>
        <v>-1.3317531626381496</v>
      </c>
      <c r="CB52" s="108"/>
    </row>
    <row r="53" spans="1:80" s="2" customFormat="1" ht="19.5" customHeight="1">
      <c r="A53" s="155"/>
      <c r="B53" s="168"/>
      <c r="C53" s="93" t="s">
        <v>105</v>
      </c>
      <c r="D53" s="64">
        <f t="shared" ref="D53:L53" si="338">D52/D51</f>
        <v>161.38771399798591</v>
      </c>
      <c r="E53" s="64">
        <f t="shared" si="338"/>
        <v>51.647969404480058</v>
      </c>
      <c r="F53" s="64">
        <f t="shared" si="338"/>
        <v>53.520854922279796</v>
      </c>
      <c r="G53" s="64">
        <f t="shared" si="338"/>
        <v>70.278350515463913</v>
      </c>
      <c r="H53" s="64">
        <f>H52/H51</f>
        <v>39.895035460992908</v>
      </c>
      <c r="I53" s="64">
        <f>I52/I51</f>
        <v>27.349828795043209</v>
      </c>
      <c r="J53" s="64">
        <f>J52/J51</f>
        <v>28.09586495276444</v>
      </c>
      <c r="K53" s="64">
        <f t="shared" si="338"/>
        <v>345.76923076923077</v>
      </c>
      <c r="L53" s="64">
        <f t="shared" si="338"/>
        <v>401.38095238095241</v>
      </c>
      <c r="M53" s="65"/>
      <c r="N53" s="64">
        <f>N52/N51</f>
        <v>1258.25</v>
      </c>
      <c r="O53" s="64">
        <f>O52/O51</f>
        <v>2562</v>
      </c>
      <c r="P53" s="65"/>
      <c r="Q53" s="64">
        <f>Q52/Q51</f>
        <v>560.47058823529414</v>
      </c>
      <c r="R53" s="64">
        <f>R52/R51</f>
        <v>451.62790697674421</v>
      </c>
      <c r="S53" s="65"/>
      <c r="T53" s="64">
        <f>T52/T51</f>
        <v>369.88235294117646</v>
      </c>
      <c r="U53" s="64">
        <f>U52/U51</f>
        <v>217.14</v>
      </c>
      <c r="V53" s="65"/>
      <c r="W53" s="64">
        <f>W52/W51</f>
        <v>465.1764705882353</v>
      </c>
      <c r="X53" s="64">
        <f>X52/X51</f>
        <v>325.55913978494624</v>
      </c>
      <c r="Y53" s="65"/>
      <c r="Z53" s="64">
        <f>Z52/Z51</f>
        <v>1808.875</v>
      </c>
      <c r="AA53" s="64">
        <f>AA52/AA51</f>
        <v>31.199029126213592</v>
      </c>
      <c r="AB53" s="65"/>
      <c r="AC53" s="64">
        <f>AC52/AC51</f>
        <v>721.11904761904759</v>
      </c>
      <c r="AD53" s="64">
        <f>AD52/AD51</f>
        <v>38.813908205841443</v>
      </c>
      <c r="AE53" s="65"/>
      <c r="AF53" s="64">
        <f>AF52/AF51</f>
        <v>916</v>
      </c>
      <c r="AG53" s="64">
        <f>AG52/AG51</f>
        <v>163.51459854014598</v>
      </c>
      <c r="AH53" s="65"/>
      <c r="AI53" s="64">
        <f>AI52/AI51</f>
        <v>725.65116279069764</v>
      </c>
      <c r="AJ53" s="64">
        <f>AJ52/AJ51</f>
        <v>47.645127940036183</v>
      </c>
      <c r="AK53" s="65"/>
      <c r="AL53" s="64">
        <f>AL52/AL51</f>
        <v>24.51099928109274</v>
      </c>
      <c r="AM53" s="64">
        <f>AM52/AM51</f>
        <v>18.254349130173964</v>
      </c>
      <c r="AN53" s="65"/>
      <c r="AO53" s="64">
        <f>AO52/AO51</f>
        <v>28.819234066876252</v>
      </c>
      <c r="AP53" s="64">
        <f>AP52/AP51</f>
        <v>31.074295377677565</v>
      </c>
      <c r="AQ53" s="65"/>
      <c r="AR53" s="64">
        <f>AR52/AR51</f>
        <v>1002</v>
      </c>
      <c r="AS53" s="64">
        <f>AS52/AS51</f>
        <v>231.6103896103896</v>
      </c>
      <c r="AT53" s="65"/>
      <c r="AU53" s="64">
        <f>AU52/AU51</f>
        <v>30.485164051355206</v>
      </c>
      <c r="AV53" s="64">
        <f>AV52/AV51</f>
        <v>32.800156477031408</v>
      </c>
      <c r="AW53" s="65"/>
      <c r="AX53" s="64">
        <f>AX52/AX51</f>
        <v>3089</v>
      </c>
      <c r="AY53" s="64">
        <f>AY52/AY51</f>
        <v>4323</v>
      </c>
      <c r="AZ53" s="65"/>
      <c r="BA53" s="64">
        <f>BA52/BA51</f>
        <v>31.35752994865944</v>
      </c>
      <c r="BB53" s="64">
        <f>BB52/BB51</f>
        <v>33.279615556548947</v>
      </c>
      <c r="BC53" s="65"/>
      <c r="BD53" s="64">
        <f>BD52/BD51</f>
        <v>19.734000000000002</v>
      </c>
      <c r="BE53" s="64">
        <f>BE52/BE51</f>
        <v>1121</v>
      </c>
      <c r="BF53" s="65"/>
      <c r="BG53" s="64">
        <f>BG52/BG51</f>
        <v>27.874650419496604</v>
      </c>
      <c r="BH53" s="64">
        <f>BH52/BH51</f>
        <v>33.765638963360146</v>
      </c>
      <c r="BI53" s="65"/>
      <c r="BJ53" s="64">
        <f>BJ52/BJ51</f>
        <v>23.833506763787721</v>
      </c>
      <c r="BK53" s="64">
        <f>BK52/BK51</f>
        <v>723.18181818181813</v>
      </c>
      <c r="BL53" s="65"/>
      <c r="BM53" s="64">
        <f>BM52/BM51</f>
        <v>26.971151609150834</v>
      </c>
      <c r="BN53" s="64">
        <f>BN52/BN51</f>
        <v>37.137616718541572</v>
      </c>
      <c r="BO53" s="65"/>
      <c r="BP53" s="64">
        <f>BP52/BP51</f>
        <v>2268</v>
      </c>
      <c r="BQ53" s="64">
        <f>BQ52/BQ51</f>
        <v>9.1086739780658021</v>
      </c>
      <c r="BR53" s="65"/>
      <c r="BS53" s="64">
        <f>BS52/BS51</f>
        <v>27.318678762502909</v>
      </c>
      <c r="BT53" s="64">
        <f>BT52/BT51</f>
        <v>34.326032603260323</v>
      </c>
      <c r="BU53" s="65"/>
      <c r="BV53" s="64">
        <f>BV52/BV51</f>
        <v>617.70588235294122</v>
      </c>
      <c r="BW53" s="64">
        <f>BW52/BW51</f>
        <v>140.68571428571428</v>
      </c>
      <c r="BX53" s="65"/>
      <c r="BY53" s="64">
        <f>BY52/BY51</f>
        <v>28.09586495276444</v>
      </c>
      <c r="BZ53" s="64">
        <f>BZ52/BZ51</f>
        <v>35.431314330958038</v>
      </c>
      <c r="CA53" s="65"/>
      <c r="CB53" s="108"/>
    </row>
    <row r="54" spans="1:80" s="1" customFormat="1" ht="19.5" customHeight="1">
      <c r="A54" s="164" t="s">
        <v>175</v>
      </c>
      <c r="B54" s="133" t="s">
        <v>7</v>
      </c>
      <c r="C54" s="32" t="s">
        <v>42</v>
      </c>
      <c r="D54" s="66">
        <v>207</v>
      </c>
      <c r="E54" s="66">
        <v>3762</v>
      </c>
      <c r="F54" s="66">
        <v>8362</v>
      </c>
      <c r="G54" s="66">
        <v>13100</v>
      </c>
      <c r="H54" s="66">
        <f>5122+8044</f>
        <v>13166</v>
      </c>
      <c r="I54" s="66">
        <f>14397+12591</f>
        <v>26988</v>
      </c>
      <c r="J54" s="66">
        <f>33156+6358</f>
        <v>39514</v>
      </c>
      <c r="K54" s="66">
        <f>3932+855</f>
        <v>4787</v>
      </c>
      <c r="L54" s="66">
        <f>42+2350</f>
        <v>2392</v>
      </c>
      <c r="M54" s="15">
        <f t="shared" si="0"/>
        <v>-50.031334865260078</v>
      </c>
      <c r="N54" s="63">
        <f>Q54-K54</f>
        <v>2208</v>
      </c>
      <c r="O54" s="63">
        <f>R54-L54</f>
        <v>4676</v>
      </c>
      <c r="P54" s="15">
        <f t="shared" si="1"/>
        <v>111.77536231884058</v>
      </c>
      <c r="Q54" s="66">
        <f>6138+857</f>
        <v>6995</v>
      </c>
      <c r="R54" s="66">
        <f>4204+2864</f>
        <v>7068</v>
      </c>
      <c r="S54" s="15">
        <f t="shared" si="2"/>
        <v>1.043602573266611</v>
      </c>
      <c r="T54" s="63">
        <f>W54-Q54</f>
        <v>2372</v>
      </c>
      <c r="U54" s="63">
        <f>X54-R54</f>
        <v>3800</v>
      </c>
      <c r="V54" s="15">
        <f t="shared" ref="V54:V55" si="339">(U54/T54-1)*100</f>
        <v>60.202360876897146</v>
      </c>
      <c r="W54" s="66">
        <f>8210+1157</f>
        <v>9367</v>
      </c>
      <c r="X54" s="66">
        <f>4404+6464</f>
        <v>10868</v>
      </c>
      <c r="Y54" s="15">
        <f t="shared" ref="Y54:Y55" si="340">(X54/W54-1)*100</f>
        <v>16.024340770791067</v>
      </c>
      <c r="Z54" s="63">
        <f>AC54-W54</f>
        <v>2594</v>
      </c>
      <c r="AA54" s="63">
        <f>AD54-X54</f>
        <v>503</v>
      </c>
      <c r="AB54" s="15">
        <f t="shared" ref="AB54:AB55" si="341">(AA54/Z54-1)*100</f>
        <v>-80.609097918272937</v>
      </c>
      <c r="AC54" s="66">
        <f>10249+1712</f>
        <v>11961</v>
      </c>
      <c r="AD54" s="66">
        <f>4486+6885</f>
        <v>11371</v>
      </c>
      <c r="AE54" s="15">
        <f t="shared" ref="AE54:AE55" si="342">(AD54/AC54-1)*100</f>
        <v>-4.9326979349552662</v>
      </c>
      <c r="AF54" s="63">
        <f>AI54-AC54</f>
        <v>870</v>
      </c>
      <c r="AG54" s="63">
        <f>AJ54-AD54</f>
        <v>173</v>
      </c>
      <c r="AH54" s="15">
        <f t="shared" ref="AH54:AH55" si="343">(AG54/AF54-1)*100</f>
        <v>-80.114942528735639</v>
      </c>
      <c r="AI54" s="66">
        <f>10264+2567</f>
        <v>12831</v>
      </c>
      <c r="AJ54" s="66">
        <v>11544</v>
      </c>
      <c r="AK54" s="15">
        <f t="shared" ref="AK54:AK55" si="344">(AJ54/AI54-1)*100</f>
        <v>-10.030395136778115</v>
      </c>
      <c r="AL54" s="63">
        <f>AO54-AI54</f>
        <v>3093</v>
      </c>
      <c r="AM54" s="63">
        <f>AP54-AJ54</f>
        <v>376</v>
      </c>
      <c r="AN54" s="15">
        <f t="shared" ref="AN54:AN55" si="345">(AM54/AL54-1)*100</f>
        <v>-87.843517620433232</v>
      </c>
      <c r="AO54" s="66">
        <f>12316+3608</f>
        <v>15924</v>
      </c>
      <c r="AP54" s="66">
        <v>11920</v>
      </c>
      <c r="AQ54" s="15">
        <f t="shared" ref="AQ54:AQ55" si="346">(AP54/AO54-1)*100</f>
        <v>-25.144436071338859</v>
      </c>
      <c r="AR54" s="63">
        <f>AU54-AO54</f>
        <v>4521</v>
      </c>
      <c r="AS54" s="63">
        <f>AV54-AP54</f>
        <v>4222</v>
      </c>
      <c r="AT54" s="15">
        <f t="shared" ref="AT54:AT55" si="347">(AS54/AR54-1)*100</f>
        <v>-6.6135810661358096</v>
      </c>
      <c r="AU54" s="66">
        <f>16532+3913</f>
        <v>20445</v>
      </c>
      <c r="AV54" s="66">
        <v>16142</v>
      </c>
      <c r="AW54" s="15">
        <f t="shared" ref="AW54:AW55" si="348">(AV54/AU54-1)*100</f>
        <v>-21.04671068720959</v>
      </c>
      <c r="AX54" s="63">
        <f>BA54-AU54</f>
        <v>6019</v>
      </c>
      <c r="AY54" s="63">
        <f>BB54-AV54</f>
        <v>4140</v>
      </c>
      <c r="AZ54" s="15">
        <f t="shared" ref="AZ54:AZ55" si="349">(AY54/AX54-1)*100</f>
        <v>-31.217810267486289</v>
      </c>
      <c r="BA54" s="66">
        <f>21651+4813</f>
        <v>26464</v>
      </c>
      <c r="BB54" s="66">
        <v>20282</v>
      </c>
      <c r="BC54" s="15">
        <f t="shared" ref="BC54:BC55" si="350">(BB54/BA54-1)*100</f>
        <v>-23.360036275695283</v>
      </c>
      <c r="BD54" s="63">
        <f>BG54-BA54</f>
        <v>4457</v>
      </c>
      <c r="BE54" s="63">
        <f>BH54-BB54</f>
        <v>536</v>
      </c>
      <c r="BF54" s="15">
        <f t="shared" ref="BF54:BF55" si="351">(BE54/BD54-1)*100</f>
        <v>-87.973973524792456</v>
      </c>
      <c r="BG54" s="66">
        <f>25655+5266</f>
        <v>30921</v>
      </c>
      <c r="BH54" s="66">
        <v>20818</v>
      </c>
      <c r="BI54" s="15">
        <f t="shared" ref="BI54:BI55" si="352">(BH54/BG54-1)*100</f>
        <v>-32.673587529510684</v>
      </c>
      <c r="BJ54" s="63">
        <f>BM54-BG54</f>
        <v>587</v>
      </c>
      <c r="BK54" s="63">
        <f>BN54-BH54</f>
        <v>4344</v>
      </c>
      <c r="BL54" s="15">
        <f t="shared" ref="BL54:BL55" si="353">(BK54/BJ54-1)*100</f>
        <v>640.03407155025559</v>
      </c>
      <c r="BM54" s="66">
        <f>25942+5566</f>
        <v>31508</v>
      </c>
      <c r="BN54" s="66">
        <v>25162</v>
      </c>
      <c r="BO54" s="15">
        <f t="shared" ref="BO54:BO55" si="354">(BN54/BM54-1)*100</f>
        <v>-20.140916592611401</v>
      </c>
      <c r="BP54" s="63">
        <f>BS54-BM54</f>
        <v>5425</v>
      </c>
      <c r="BQ54" s="63">
        <f>BT54-BN54</f>
        <v>8200</v>
      </c>
      <c r="BR54" s="15">
        <f t="shared" ref="BR54:BR55" si="355">(BQ54/BP54-1)*100</f>
        <v>51.152073732718883</v>
      </c>
      <c r="BS54" s="66">
        <f>31055+5878</f>
        <v>36933</v>
      </c>
      <c r="BT54" s="66">
        <v>33362</v>
      </c>
      <c r="BU54" s="15">
        <f t="shared" ref="BU54:BU55" si="356">(BT54/BS54-1)*100</f>
        <v>-9.6688598272547601</v>
      </c>
      <c r="BV54" s="63">
        <f>BY54-BS54</f>
        <v>2581</v>
      </c>
      <c r="BW54" s="63">
        <f>BZ54-BT54</f>
        <v>4123</v>
      </c>
      <c r="BX54" s="15">
        <f t="shared" ref="BX54:BX55" si="357">(BW54/BV54-1)*100</f>
        <v>59.744285160790398</v>
      </c>
      <c r="BY54" s="66">
        <f>33156+6358</f>
        <v>39514</v>
      </c>
      <c r="BZ54" s="66">
        <v>37485</v>
      </c>
      <c r="CA54" s="15">
        <f t="shared" ref="CA54:CA55" si="358">(BZ54/BY54-1)*100</f>
        <v>-5.1348889001366587</v>
      </c>
      <c r="CB54" s="108"/>
    </row>
    <row r="55" spans="1:80" s="1" customFormat="1" ht="19.5" customHeight="1">
      <c r="A55" s="154"/>
      <c r="B55" s="167"/>
      <c r="C55" s="33" t="s">
        <v>104</v>
      </c>
      <c r="D55" s="17">
        <v>116741</v>
      </c>
      <c r="E55" s="17">
        <v>1714098</v>
      </c>
      <c r="F55" s="17">
        <v>6084743</v>
      </c>
      <c r="G55" s="17">
        <v>7082946</v>
      </c>
      <c r="H55" s="17">
        <f>1524925+3403162</f>
        <v>4928087</v>
      </c>
      <c r="I55" s="17">
        <f>3570413+4307377</f>
        <v>7877790</v>
      </c>
      <c r="J55" s="17">
        <f>6756648+1984722</f>
        <v>8741370</v>
      </c>
      <c r="K55" s="17">
        <f>1007738+262249</f>
        <v>1269987</v>
      </c>
      <c r="L55" s="17">
        <f>6669+365822</f>
        <v>372491</v>
      </c>
      <c r="M55" s="18">
        <f t="shared" si="0"/>
        <v>-70.669699768580301</v>
      </c>
      <c r="N55" s="17">
        <f>Q55-K55</f>
        <v>543731</v>
      </c>
      <c r="O55" s="17">
        <f>R55-L55</f>
        <v>824273</v>
      </c>
      <c r="P55" s="18">
        <f t="shared" si="1"/>
        <v>51.595733919897889</v>
      </c>
      <c r="Q55" s="17">
        <f>1537480+276238</f>
        <v>1813718</v>
      </c>
      <c r="R55" s="17">
        <f>693430+503334</f>
        <v>1196764</v>
      </c>
      <c r="S55" s="18">
        <f t="shared" si="2"/>
        <v>-34.015982638976951</v>
      </c>
      <c r="T55" s="17">
        <f>W55-Q55</f>
        <v>561459</v>
      </c>
      <c r="U55" s="17">
        <f>X55-R55</f>
        <v>569876</v>
      </c>
      <c r="V55" s="18">
        <f t="shared" si="339"/>
        <v>1.4991299453744666</v>
      </c>
      <c r="W55" s="17">
        <f>1982380+392797</f>
        <v>2375177</v>
      </c>
      <c r="X55" s="17">
        <f>729397+1037243</f>
        <v>1766640</v>
      </c>
      <c r="Y55" s="18">
        <f t="shared" si="340"/>
        <v>-25.620701109854128</v>
      </c>
      <c r="Z55" s="17">
        <f>AC55-W55</f>
        <v>620621</v>
      </c>
      <c r="AA55" s="17">
        <f>AD55-X55</f>
        <v>202652</v>
      </c>
      <c r="AB55" s="18">
        <f t="shared" si="341"/>
        <v>-67.34689931536316</v>
      </c>
      <c r="AC55" s="17">
        <f>2427140+568658</f>
        <v>2995798</v>
      </c>
      <c r="AD55" s="17">
        <f>825959+1143333</f>
        <v>1969292</v>
      </c>
      <c r="AE55" s="18">
        <f t="shared" si="342"/>
        <v>-34.264860314346954</v>
      </c>
      <c r="AF55" s="17">
        <f>AI55-AC55</f>
        <v>286717</v>
      </c>
      <c r="AG55" s="17">
        <f>AJ55-AD55</f>
        <v>72757</v>
      </c>
      <c r="AH55" s="18">
        <f t="shared" si="343"/>
        <v>-74.624106697544974</v>
      </c>
      <c r="AI55" s="17">
        <f>2431337+851178</f>
        <v>3282515</v>
      </c>
      <c r="AJ55" s="17">
        <f>826668+1215381</f>
        <v>2042049</v>
      </c>
      <c r="AK55" s="18">
        <f t="shared" si="344"/>
        <v>-37.790109108412295</v>
      </c>
      <c r="AL55" s="17">
        <f>AO55-AI55</f>
        <v>745650</v>
      </c>
      <c r="AM55" s="17">
        <f>AP55-AJ55</f>
        <v>140282</v>
      </c>
      <c r="AN55" s="18">
        <f t="shared" si="345"/>
        <v>-81.186615704418969</v>
      </c>
      <c r="AO55" s="17">
        <f>2864052+1164113</f>
        <v>4028165</v>
      </c>
      <c r="AP55" s="17">
        <f>831585+1350746</f>
        <v>2182331</v>
      </c>
      <c r="AQ55" s="18">
        <f t="shared" si="346"/>
        <v>-45.823197411228186</v>
      </c>
      <c r="AR55" s="17">
        <f>AU55-AO55</f>
        <v>988478</v>
      </c>
      <c r="AS55" s="17">
        <f>AV55-AP55</f>
        <v>540382</v>
      </c>
      <c r="AT55" s="18">
        <f t="shared" si="347"/>
        <v>-45.331914316757683</v>
      </c>
      <c r="AU55" s="17">
        <f>3735100+1281543</f>
        <v>5016643</v>
      </c>
      <c r="AV55" s="17">
        <f>835098+1887615</f>
        <v>2722713</v>
      </c>
      <c r="AW55" s="18">
        <f t="shared" si="348"/>
        <v>-45.726395121199573</v>
      </c>
      <c r="AX55" s="17">
        <f>BA55-AU55</f>
        <v>1292948</v>
      </c>
      <c r="AY55" s="17">
        <f>BB55-AV55</f>
        <v>526424</v>
      </c>
      <c r="AZ55" s="18">
        <f t="shared" si="349"/>
        <v>-59.284982845404457</v>
      </c>
      <c r="BA55" s="17">
        <f>4807037+1502554</f>
        <v>6309591</v>
      </c>
      <c r="BB55" s="17">
        <f>838990+2410147</f>
        <v>3249137</v>
      </c>
      <c r="BC55" s="18">
        <f t="shared" si="350"/>
        <v>-48.504792148968136</v>
      </c>
      <c r="BD55" s="17">
        <f>BG55-BA55</f>
        <v>687072</v>
      </c>
      <c r="BE55" s="17">
        <f>BH55-BB55</f>
        <v>116360</v>
      </c>
      <c r="BF55" s="18">
        <f t="shared" si="351"/>
        <v>-83.064365888873354</v>
      </c>
      <c r="BG55" s="17">
        <f>5354280+1642383</f>
        <v>6996663</v>
      </c>
      <c r="BH55" s="17">
        <f>877898+2487599</f>
        <v>3365497</v>
      </c>
      <c r="BI55" s="18">
        <f t="shared" si="352"/>
        <v>-51.898540775795546</v>
      </c>
      <c r="BJ55" s="17">
        <f>BM55-BG55</f>
        <v>162681</v>
      </c>
      <c r="BK55" s="17">
        <f>BN55-BH55</f>
        <v>578646</v>
      </c>
      <c r="BL55" s="18">
        <f t="shared" si="353"/>
        <v>255.69365814077858</v>
      </c>
      <c r="BM55" s="17">
        <f>5411842+1747502</f>
        <v>7159344</v>
      </c>
      <c r="BN55" s="17">
        <v>3944143</v>
      </c>
      <c r="BO55" s="18">
        <f t="shared" si="354"/>
        <v>-44.909156481375945</v>
      </c>
      <c r="BP55" s="17">
        <f>BS55-BM55</f>
        <v>1145694</v>
      </c>
      <c r="BQ55" s="17">
        <f>BT55-BN55</f>
        <v>683834</v>
      </c>
      <c r="BR55" s="18">
        <f t="shared" si="355"/>
        <v>-40.31268384053682</v>
      </c>
      <c r="BS55" s="17">
        <f>6459528+1845510</f>
        <v>8305038</v>
      </c>
      <c r="BT55" s="17">
        <f>1273318+3354659</f>
        <v>4627977</v>
      </c>
      <c r="BU55" s="18">
        <f t="shared" si="356"/>
        <v>-44.275065327816691</v>
      </c>
      <c r="BV55" s="17">
        <f>BY55-BS55</f>
        <v>436332</v>
      </c>
      <c r="BW55" s="17">
        <f>BZ55-BT55</f>
        <v>659846</v>
      </c>
      <c r="BX55" s="18">
        <f t="shared" si="357"/>
        <v>51.225672194567437</v>
      </c>
      <c r="BY55" s="17">
        <f>6756648+1984722</f>
        <v>8741370</v>
      </c>
      <c r="BZ55" s="17">
        <f>1882766+3405057</f>
        <v>5287823</v>
      </c>
      <c r="CA55" s="18">
        <f t="shared" si="358"/>
        <v>-39.508074821223673</v>
      </c>
      <c r="CB55" s="108"/>
    </row>
    <row r="56" spans="1:80" s="1" customFormat="1" ht="19.5" customHeight="1">
      <c r="A56" s="155"/>
      <c r="B56" s="168"/>
      <c r="C56" s="93" t="s">
        <v>105</v>
      </c>
      <c r="D56" s="64">
        <f t="shared" ref="D56:L56" si="359">D55/D54</f>
        <v>563.96618357487921</v>
      </c>
      <c r="E56" s="64">
        <f t="shared" si="359"/>
        <v>455.63476874003192</v>
      </c>
      <c r="F56" s="64">
        <f t="shared" si="359"/>
        <v>727.66598899784742</v>
      </c>
      <c r="G56" s="64">
        <f t="shared" si="359"/>
        <v>540.68290076335882</v>
      </c>
      <c r="H56" s="64">
        <f>H55/H54</f>
        <v>374.3040407109221</v>
      </c>
      <c r="I56" s="64">
        <f>I55/I54</f>
        <v>291.89973321476214</v>
      </c>
      <c r="J56" s="64">
        <f>J55/J54</f>
        <v>221.22209849673533</v>
      </c>
      <c r="K56" s="64">
        <f t="shared" si="359"/>
        <v>265.29914351368291</v>
      </c>
      <c r="L56" s="64">
        <f t="shared" si="359"/>
        <v>155.72366220735785</v>
      </c>
      <c r="M56" s="65"/>
      <c r="N56" s="64">
        <f>N55/N54</f>
        <v>246.25498188405797</v>
      </c>
      <c r="O56" s="64">
        <f>O55/O54</f>
        <v>176.27737382378101</v>
      </c>
      <c r="P56" s="65"/>
      <c r="Q56" s="64">
        <f>Q55/Q54</f>
        <v>259.2877769835597</v>
      </c>
      <c r="R56" s="64">
        <f>R55/R54</f>
        <v>169.32144878324846</v>
      </c>
      <c r="S56" s="65"/>
      <c r="T56" s="64">
        <f>T55/T54</f>
        <v>236.70278246205734</v>
      </c>
      <c r="U56" s="64">
        <f>U55/U54</f>
        <v>149.96736842105264</v>
      </c>
      <c r="V56" s="65"/>
      <c r="W56" s="64">
        <f>W55/W54</f>
        <v>253.56859186505818</v>
      </c>
      <c r="X56" s="64">
        <f>X55/X54</f>
        <v>162.55428781744573</v>
      </c>
      <c r="Y56" s="65"/>
      <c r="Z56" s="64">
        <f>Z55/Z54</f>
        <v>239.25250578257518</v>
      </c>
      <c r="AA56" s="64">
        <f>AA55/AA54</f>
        <v>402.88667992047715</v>
      </c>
      <c r="AB56" s="65"/>
      <c r="AC56" s="64">
        <f>AC55/AC54</f>
        <v>250.46384081598529</v>
      </c>
      <c r="AD56" s="64">
        <f>AD55/AD54</f>
        <v>173.18547181426436</v>
      </c>
      <c r="AE56" s="65"/>
      <c r="AF56" s="64">
        <f>AF55/AF54</f>
        <v>329.55977011494252</v>
      </c>
      <c r="AG56" s="64">
        <f>AG55/AG54</f>
        <v>420.56069364161851</v>
      </c>
      <c r="AH56" s="65"/>
      <c r="AI56" s="64">
        <f>AI55/AI54</f>
        <v>255.82690359286104</v>
      </c>
      <c r="AJ56" s="64">
        <f>AJ55/AJ54</f>
        <v>176.89267151767152</v>
      </c>
      <c r="AK56" s="65"/>
      <c r="AL56" s="64">
        <f>AL55/AL54</f>
        <v>241.07662463627545</v>
      </c>
      <c r="AM56" s="64">
        <f>AM55/AM54</f>
        <v>373.09042553191489</v>
      </c>
      <c r="AN56" s="65"/>
      <c r="AO56" s="64">
        <f>AO55/AO54</f>
        <v>252.96188143682491</v>
      </c>
      <c r="AP56" s="64">
        <f>AP55/AP54</f>
        <v>183.08145973154362</v>
      </c>
      <c r="AQ56" s="65"/>
      <c r="AR56" s="64">
        <f>AR55/AR54</f>
        <v>218.64145100641451</v>
      </c>
      <c r="AS56" s="64">
        <f>AS55/AS54</f>
        <v>127.99194694457603</v>
      </c>
      <c r="AT56" s="65"/>
      <c r="AU56" s="64">
        <f>AU55/AU54</f>
        <v>245.37260943996088</v>
      </c>
      <c r="AV56" s="64">
        <f>AV55/AV54</f>
        <v>168.67259323503902</v>
      </c>
      <c r="AW56" s="65"/>
      <c r="AX56" s="64">
        <f>AX55/AX54</f>
        <v>214.81109818906796</v>
      </c>
      <c r="AY56" s="64">
        <f>AY55/AY54</f>
        <v>127.15555555555555</v>
      </c>
      <c r="AZ56" s="65"/>
      <c r="BA56" s="64">
        <f>BA55/BA54</f>
        <v>238.42166717049577</v>
      </c>
      <c r="BB56" s="64">
        <f>BB55/BB54</f>
        <v>160.19805739078987</v>
      </c>
      <c r="BC56" s="65"/>
      <c r="BD56" s="64">
        <f>BD55/BD54</f>
        <v>154.15571011891407</v>
      </c>
      <c r="BE56" s="64">
        <f>BE55/BE54</f>
        <v>217.08955223880596</v>
      </c>
      <c r="BF56" s="65"/>
      <c r="BG56" s="64">
        <f>BG55/BG54</f>
        <v>226.27544387309595</v>
      </c>
      <c r="BH56" s="64">
        <f>BH55/BH54</f>
        <v>161.6628398501297</v>
      </c>
      <c r="BI56" s="65"/>
      <c r="BJ56" s="64">
        <f>BJ55/BJ54</f>
        <v>277.1396933560477</v>
      </c>
      <c r="BK56" s="64">
        <f>BK55/BK54</f>
        <v>133.20580110497238</v>
      </c>
      <c r="BL56" s="65"/>
      <c r="BM56" s="64">
        <f>BM55/BM54</f>
        <v>227.22305446235876</v>
      </c>
      <c r="BN56" s="64">
        <f>BN55/BN54</f>
        <v>156.7499801287656</v>
      </c>
      <c r="BO56" s="65"/>
      <c r="BP56" s="64">
        <f>BP55/BP54</f>
        <v>211.18783410138249</v>
      </c>
      <c r="BQ56" s="64">
        <f>BQ55/BQ54</f>
        <v>83.394390243902436</v>
      </c>
      <c r="BR56" s="65"/>
      <c r="BS56" s="64">
        <f>BS55/BS54</f>
        <v>224.86767931118513</v>
      </c>
      <c r="BT56" s="64">
        <f>BT55/BT54</f>
        <v>138.72001079071998</v>
      </c>
      <c r="BU56" s="65"/>
      <c r="BV56" s="64">
        <f>BV55/BV54</f>
        <v>169.05540488182874</v>
      </c>
      <c r="BW56" s="64">
        <f>BW55/BW54</f>
        <v>160.04026194518553</v>
      </c>
      <c r="BX56" s="65"/>
      <c r="BY56" s="64">
        <f>BY55/BY54</f>
        <v>221.22209849673533</v>
      </c>
      <c r="BZ56" s="64">
        <f>BZ55/BZ54</f>
        <v>141.06503934907298</v>
      </c>
      <c r="CA56" s="65"/>
      <c r="CB56" s="108"/>
    </row>
    <row r="57" spans="1:80" s="1" customFormat="1" ht="19.5" customHeight="1">
      <c r="A57" s="151" t="s">
        <v>176</v>
      </c>
      <c r="B57" s="133" t="s">
        <v>8</v>
      </c>
      <c r="C57" s="32" t="s">
        <v>42</v>
      </c>
      <c r="D57" s="66">
        <v>60</v>
      </c>
      <c r="E57" s="66">
        <v>98</v>
      </c>
      <c r="F57" s="66">
        <v>220</v>
      </c>
      <c r="G57" s="66">
        <v>156</v>
      </c>
      <c r="H57" s="66">
        <f>33+234</f>
        <v>267</v>
      </c>
      <c r="I57" s="66">
        <f>8+209</f>
        <v>217</v>
      </c>
      <c r="J57" s="66">
        <f>10+266</f>
        <v>276</v>
      </c>
      <c r="K57" s="66">
        <v>0</v>
      </c>
      <c r="L57" s="66">
        <v>1</v>
      </c>
      <c r="M57" s="15" t="e">
        <f t="shared" si="0"/>
        <v>#DIV/0!</v>
      </c>
      <c r="N57" s="63">
        <f>Q57-K57</f>
        <v>10</v>
      </c>
      <c r="O57" s="63">
        <f>R57-L57</f>
        <v>36</v>
      </c>
      <c r="P57" s="15">
        <f t="shared" si="1"/>
        <v>260</v>
      </c>
      <c r="Q57" s="66">
        <v>10</v>
      </c>
      <c r="R57" s="66">
        <v>37</v>
      </c>
      <c r="S57" s="15">
        <f t="shared" si="2"/>
        <v>270</v>
      </c>
      <c r="T57" s="63">
        <f>W57-Q57</f>
        <v>38</v>
      </c>
      <c r="U57" s="63">
        <f>X57-R57</f>
        <v>31</v>
      </c>
      <c r="V57" s="15">
        <f t="shared" ref="V57:V58" si="360">(U57/T57-1)*100</f>
        <v>-18.421052631578949</v>
      </c>
      <c r="W57" s="66">
        <v>48</v>
      </c>
      <c r="X57" s="66">
        <v>68</v>
      </c>
      <c r="Y57" s="15">
        <f t="shared" ref="Y57:Y58" si="361">(X57/W57-1)*100</f>
        <v>41.666666666666671</v>
      </c>
      <c r="Z57" s="63">
        <f>AC57-W57</f>
        <v>14</v>
      </c>
      <c r="AA57" s="63">
        <f>AD57-X57</f>
        <v>51</v>
      </c>
      <c r="AB57" s="15">
        <f t="shared" ref="AB57:AB58" si="362">(AA57/Z57-1)*100</f>
        <v>264.28571428571428</v>
      </c>
      <c r="AC57" s="66">
        <f>3+59</f>
        <v>62</v>
      </c>
      <c r="AD57" s="66">
        <f>10+109</f>
        <v>119</v>
      </c>
      <c r="AE57" s="15">
        <f t="shared" ref="AE57:AE58" si="363">(AD57/AC57-1)*100</f>
        <v>91.935483870967744</v>
      </c>
      <c r="AF57" s="63">
        <f>AI57-AC57</f>
        <v>22</v>
      </c>
      <c r="AG57" s="63">
        <f>AJ57-AD57</f>
        <v>0</v>
      </c>
      <c r="AH57" s="15">
        <f t="shared" ref="AH57:AH58" si="364">(AG57/AF57-1)*100</f>
        <v>-100</v>
      </c>
      <c r="AI57" s="66">
        <f>3+81</f>
        <v>84</v>
      </c>
      <c r="AJ57" s="66">
        <v>119</v>
      </c>
      <c r="AK57" s="15">
        <f t="shared" ref="AK57:AK58" si="365">(AJ57/AI57-1)*100</f>
        <v>41.666666666666671</v>
      </c>
      <c r="AL57" s="63">
        <f>AO57-AI57</f>
        <v>10</v>
      </c>
      <c r="AM57" s="63">
        <f>AP57-AJ57</f>
        <v>36</v>
      </c>
      <c r="AN57" s="15">
        <f t="shared" ref="AN57:AN58" si="366">(AM57/AL57-1)*100</f>
        <v>260</v>
      </c>
      <c r="AO57" s="66">
        <f>3+91</f>
        <v>94</v>
      </c>
      <c r="AP57" s="66">
        <v>155</v>
      </c>
      <c r="AQ57" s="15">
        <f t="shared" ref="AQ57:AQ58" si="367">(AP57/AO57-1)*100</f>
        <v>64.893617021276611</v>
      </c>
      <c r="AR57" s="63">
        <f>AU57-AO57</f>
        <v>2</v>
      </c>
      <c r="AS57" s="63">
        <f>AV57-AP57</f>
        <v>14</v>
      </c>
      <c r="AT57" s="15">
        <f t="shared" ref="AT57:AT58" si="368">(AS57/AR57-1)*100</f>
        <v>600</v>
      </c>
      <c r="AU57" s="66">
        <f>3+93</f>
        <v>96</v>
      </c>
      <c r="AV57" s="66">
        <v>169</v>
      </c>
      <c r="AW57" s="15">
        <f t="shared" ref="AW57:AW58" si="369">(AV57/AU57-1)*100</f>
        <v>76.041666666666671</v>
      </c>
      <c r="AX57" s="63">
        <f>BA57-AU57</f>
        <v>0</v>
      </c>
      <c r="AY57" s="63">
        <f>BB57-AV57</f>
        <v>1</v>
      </c>
      <c r="AZ57" s="15" t="e">
        <f t="shared" ref="AZ57:AZ58" si="370">(AY57/AX57-1)*100</f>
        <v>#DIV/0!</v>
      </c>
      <c r="BA57" s="66">
        <f>3+93</f>
        <v>96</v>
      </c>
      <c r="BB57" s="66">
        <v>170</v>
      </c>
      <c r="BC57" s="15">
        <f t="shared" ref="BC57:BC58" si="371">(BB57/BA57-1)*100</f>
        <v>77.083333333333329</v>
      </c>
      <c r="BD57" s="63">
        <f>BG57-BA57</f>
        <v>58</v>
      </c>
      <c r="BE57" s="63">
        <f>BH57-BB57</f>
        <v>26</v>
      </c>
      <c r="BF57" s="15">
        <f t="shared" ref="BF57:BF58" si="372">(BE57/BD57-1)*100</f>
        <v>-55.172413793103445</v>
      </c>
      <c r="BG57" s="66">
        <f>3+151</f>
        <v>154</v>
      </c>
      <c r="BH57" s="66">
        <v>196</v>
      </c>
      <c r="BI57" s="15">
        <f t="shared" ref="BI57:BI58" si="373">(BH57/BG57-1)*100</f>
        <v>27.27272727272727</v>
      </c>
      <c r="BJ57" s="63">
        <f>BM57-BG57</f>
        <v>43</v>
      </c>
      <c r="BK57" s="63">
        <f>BN57-BH57</f>
        <v>15</v>
      </c>
      <c r="BL57" s="15">
        <f t="shared" ref="BL57:BL58" si="374">(BK57/BJ57-1)*100</f>
        <v>-65.116279069767444</v>
      </c>
      <c r="BM57" s="66">
        <f>3+194</f>
        <v>197</v>
      </c>
      <c r="BN57" s="66">
        <v>211</v>
      </c>
      <c r="BO57" s="15">
        <f t="shared" ref="BO57:BO58" si="375">(BN57/BM57-1)*100</f>
        <v>7.1065989847715727</v>
      </c>
      <c r="BP57" s="63">
        <f>BS57-BM57</f>
        <v>37</v>
      </c>
      <c r="BQ57" s="63">
        <f>BT57-BN57</f>
        <v>11</v>
      </c>
      <c r="BR57" s="15">
        <f t="shared" ref="BR57:BR58" si="376">(BQ57/BP57-1)*100</f>
        <v>-70.27027027027026</v>
      </c>
      <c r="BS57" s="66">
        <f>8+226</f>
        <v>234</v>
      </c>
      <c r="BT57" s="66">
        <v>222</v>
      </c>
      <c r="BU57" s="15">
        <f t="shared" ref="BU57:BU58" si="377">(BT57/BS57-1)*100</f>
        <v>-5.1282051282051322</v>
      </c>
      <c r="BV57" s="63">
        <f>BY57-BS57</f>
        <v>42</v>
      </c>
      <c r="BW57" s="63">
        <f>BZ57-BT57</f>
        <v>18</v>
      </c>
      <c r="BX57" s="15">
        <f t="shared" ref="BX57:BX58" si="378">(BW57/BV57-1)*100</f>
        <v>-57.142857142857139</v>
      </c>
      <c r="BY57" s="66">
        <f>10+266</f>
        <v>276</v>
      </c>
      <c r="BZ57" s="66">
        <v>240</v>
      </c>
      <c r="CA57" s="15">
        <f t="shared" ref="CA57:CA58" si="379">(BZ57/BY57-1)*100</f>
        <v>-13.043478260869568</v>
      </c>
      <c r="CB57" s="108"/>
    </row>
    <row r="58" spans="1:80" s="1" customFormat="1" ht="19.5" customHeight="1">
      <c r="A58" s="154"/>
      <c r="B58" s="167"/>
      <c r="C58" s="33" t="s">
        <v>104</v>
      </c>
      <c r="D58" s="17">
        <v>75777</v>
      </c>
      <c r="E58" s="17">
        <v>75272</v>
      </c>
      <c r="F58" s="17">
        <v>100592</v>
      </c>
      <c r="G58" s="17">
        <v>229682</v>
      </c>
      <c r="H58" s="17">
        <f>18266+242653</f>
        <v>260919</v>
      </c>
      <c r="I58" s="17">
        <f>5788+197232</f>
        <v>203020</v>
      </c>
      <c r="J58" s="17">
        <f>22592+327439</f>
        <v>350031</v>
      </c>
      <c r="K58" s="17">
        <f>1430+656</f>
        <v>2086</v>
      </c>
      <c r="L58" s="17">
        <v>782</v>
      </c>
      <c r="M58" s="18">
        <f t="shared" si="0"/>
        <v>-62.511984659635665</v>
      </c>
      <c r="N58" s="17">
        <f>Q58-K58</f>
        <v>13065</v>
      </c>
      <c r="O58" s="17">
        <f>R58-L58</f>
        <v>53219</v>
      </c>
      <c r="P58" s="18">
        <f t="shared" si="1"/>
        <v>307.3402219670877</v>
      </c>
      <c r="Q58" s="17">
        <f>4144+11007</f>
        <v>15151</v>
      </c>
      <c r="R58" s="17">
        <f>43+53958</f>
        <v>54001</v>
      </c>
      <c r="S58" s="18">
        <f t="shared" si="2"/>
        <v>256.41871823642003</v>
      </c>
      <c r="T58" s="17">
        <f>W58-Q58</f>
        <v>43386</v>
      </c>
      <c r="U58" s="17">
        <f>X58-R58</f>
        <v>31062</v>
      </c>
      <c r="V58" s="18">
        <f t="shared" si="360"/>
        <v>-28.405476420965293</v>
      </c>
      <c r="W58" s="17">
        <f>6742+51795</f>
        <v>58537</v>
      </c>
      <c r="X58" s="17">
        <f>43+85020</f>
        <v>85063</v>
      </c>
      <c r="Y58" s="18">
        <f t="shared" si="361"/>
        <v>45.31492901925278</v>
      </c>
      <c r="Z58" s="17">
        <f>AC58-W58</f>
        <v>21673</v>
      </c>
      <c r="AA58" s="17">
        <f>AD58-X58</f>
        <v>100468</v>
      </c>
      <c r="AB58" s="18">
        <f t="shared" si="362"/>
        <v>363.5629585198173</v>
      </c>
      <c r="AC58" s="17">
        <f>11507+68703</f>
        <v>80210</v>
      </c>
      <c r="AD58" s="17">
        <f>10850+174681</f>
        <v>185531</v>
      </c>
      <c r="AE58" s="18">
        <f t="shared" si="363"/>
        <v>131.30657025308565</v>
      </c>
      <c r="AF58" s="17">
        <f>AI58-AC58</f>
        <v>29147</v>
      </c>
      <c r="AG58" s="17">
        <f>AJ58-AD58</f>
        <v>627</v>
      </c>
      <c r="AH58" s="18">
        <f t="shared" si="364"/>
        <v>-97.848835214601849</v>
      </c>
      <c r="AI58" s="17">
        <f>12825+96532</f>
        <v>109357</v>
      </c>
      <c r="AJ58" s="17">
        <f>10850+175308</f>
        <v>186158</v>
      </c>
      <c r="AK58" s="18">
        <f t="shared" si="365"/>
        <v>70.229614930914352</v>
      </c>
      <c r="AL58" s="17">
        <f>AO58-AI58</f>
        <v>10468</v>
      </c>
      <c r="AM58" s="17">
        <f>AP58-AJ58</f>
        <v>36894</v>
      </c>
      <c r="AN58" s="18">
        <f t="shared" si="366"/>
        <v>252.44554833779139</v>
      </c>
      <c r="AO58" s="17">
        <f>12825+107000</f>
        <v>119825</v>
      </c>
      <c r="AP58" s="17">
        <f>10850+212202</f>
        <v>223052</v>
      </c>
      <c r="AQ58" s="18">
        <f t="shared" si="367"/>
        <v>86.148132693511386</v>
      </c>
      <c r="AR58" s="17">
        <f>AU58-AO58</f>
        <v>14667</v>
      </c>
      <c r="AS58" s="17">
        <f>AV58-AP58</f>
        <v>11475</v>
      </c>
      <c r="AT58" s="18">
        <f t="shared" si="368"/>
        <v>-21.76314174677848</v>
      </c>
      <c r="AU58" s="17">
        <f>13092+121400</f>
        <v>134492</v>
      </c>
      <c r="AV58" s="17">
        <f>11888+222639</f>
        <v>234527</v>
      </c>
      <c r="AW58" s="18">
        <f t="shared" si="369"/>
        <v>74.379888766618095</v>
      </c>
      <c r="AX58" s="17">
        <f>BA58-AU58</f>
        <v>1740</v>
      </c>
      <c r="AY58" s="17">
        <f>BB58-AV58</f>
        <v>3783</v>
      </c>
      <c r="AZ58" s="18">
        <f t="shared" si="370"/>
        <v>117.41379310344828</v>
      </c>
      <c r="BA58" s="17">
        <f>14117+122115</f>
        <v>136232</v>
      </c>
      <c r="BB58" s="17">
        <f>15152+223158</f>
        <v>238310</v>
      </c>
      <c r="BC58" s="18">
        <f t="shared" si="371"/>
        <v>74.929531974866407</v>
      </c>
      <c r="BD58" s="17">
        <f>BG58-BA58</f>
        <v>64253</v>
      </c>
      <c r="BE58" s="17">
        <f>BH58-BB58</f>
        <v>20506</v>
      </c>
      <c r="BF58" s="18">
        <f t="shared" si="372"/>
        <v>-68.085536862092042</v>
      </c>
      <c r="BG58" s="17">
        <f>14117+186368</f>
        <v>200485</v>
      </c>
      <c r="BH58" s="17">
        <f>16474+242342</f>
        <v>258816</v>
      </c>
      <c r="BI58" s="18">
        <f t="shared" si="373"/>
        <v>29.094944758959528</v>
      </c>
      <c r="BJ58" s="17">
        <f>BM58-BG58</f>
        <v>57818</v>
      </c>
      <c r="BK58" s="17">
        <f>BN58-BH58</f>
        <v>14933</v>
      </c>
      <c r="BL58" s="18">
        <f t="shared" si="374"/>
        <v>-74.17240305787125</v>
      </c>
      <c r="BM58" s="17">
        <f>15120+243183</f>
        <v>258303</v>
      </c>
      <c r="BN58" s="17">
        <v>273749</v>
      </c>
      <c r="BO58" s="18">
        <f t="shared" si="375"/>
        <v>5.9797989183246081</v>
      </c>
      <c r="BP58" s="17">
        <f>BS58-BM58</f>
        <v>49680</v>
      </c>
      <c r="BQ58" s="17">
        <f>BT58-BN58</f>
        <v>61360</v>
      </c>
      <c r="BR58" s="18">
        <f t="shared" si="376"/>
        <v>23.510466988727853</v>
      </c>
      <c r="BS58" s="17">
        <f>22298+285685</f>
        <v>307983</v>
      </c>
      <c r="BT58" s="17">
        <f>18640+316469</f>
        <v>335109</v>
      </c>
      <c r="BU58" s="18">
        <f t="shared" si="377"/>
        <v>8.807628992509331</v>
      </c>
      <c r="BV58" s="17">
        <f>BY58-BS58</f>
        <v>42048</v>
      </c>
      <c r="BW58" s="17">
        <f>BZ58-BT58</f>
        <v>53450</v>
      </c>
      <c r="BX58" s="18">
        <f t="shared" si="378"/>
        <v>27.116628614916284</v>
      </c>
      <c r="BY58" s="17">
        <f>22592+327439</f>
        <v>350031</v>
      </c>
      <c r="BZ58" s="17">
        <f>32371+356188</f>
        <v>388559</v>
      </c>
      <c r="CA58" s="18">
        <f t="shared" si="379"/>
        <v>11.007025092063284</v>
      </c>
      <c r="CB58" s="108"/>
    </row>
    <row r="59" spans="1:80" s="1" customFormat="1" ht="19.5" customHeight="1">
      <c r="A59" s="155"/>
      <c r="B59" s="168"/>
      <c r="C59" s="93" t="s">
        <v>105</v>
      </c>
      <c r="D59" s="64">
        <f t="shared" ref="D59:L59" si="380">D58/D57</f>
        <v>1262.95</v>
      </c>
      <c r="E59" s="64">
        <f t="shared" si="380"/>
        <v>768.08163265306121</v>
      </c>
      <c r="F59" s="64">
        <f t="shared" si="380"/>
        <v>457.23636363636365</v>
      </c>
      <c r="G59" s="64">
        <f t="shared" si="380"/>
        <v>1472.3205128205129</v>
      </c>
      <c r="H59" s="64">
        <f>H58/H57</f>
        <v>977.22471910112358</v>
      </c>
      <c r="I59" s="64">
        <f>I58/I57</f>
        <v>935.57603686635946</v>
      </c>
      <c r="J59" s="64">
        <f>J58/J57</f>
        <v>1268.2282608695652</v>
      </c>
      <c r="K59" s="64" t="e">
        <f t="shared" si="380"/>
        <v>#DIV/0!</v>
      </c>
      <c r="L59" s="64">
        <f t="shared" si="380"/>
        <v>782</v>
      </c>
      <c r="M59" s="65"/>
      <c r="N59" s="64">
        <f>N58/N57</f>
        <v>1306.5</v>
      </c>
      <c r="O59" s="64">
        <f>O58/O57</f>
        <v>1478.3055555555557</v>
      </c>
      <c r="P59" s="65"/>
      <c r="Q59" s="64">
        <f>Q58/Q57</f>
        <v>1515.1</v>
      </c>
      <c r="R59" s="64">
        <f>R58/R57</f>
        <v>1459.4864864864865</v>
      </c>
      <c r="S59" s="65"/>
      <c r="T59" s="64">
        <f>T58/T57</f>
        <v>1141.7368421052631</v>
      </c>
      <c r="U59" s="64">
        <f>U58/U57</f>
        <v>1002</v>
      </c>
      <c r="V59" s="65"/>
      <c r="W59" s="64">
        <f>W58/W57</f>
        <v>1219.5208333333333</v>
      </c>
      <c r="X59" s="64">
        <f>X58/X57</f>
        <v>1250.9264705882354</v>
      </c>
      <c r="Y59" s="65"/>
      <c r="Z59" s="64">
        <f>Z58/Z57</f>
        <v>1548.0714285714287</v>
      </c>
      <c r="AA59" s="64">
        <f>AA58/AA57</f>
        <v>1969.9607843137255</v>
      </c>
      <c r="AB59" s="65"/>
      <c r="AC59" s="64">
        <f>AC58/AC57</f>
        <v>1293.7096774193549</v>
      </c>
      <c r="AD59" s="64">
        <f>AD58/AD57</f>
        <v>1559.0840336134454</v>
      </c>
      <c r="AE59" s="65"/>
      <c r="AF59" s="64">
        <f>AF58/AF57</f>
        <v>1324.8636363636363</v>
      </c>
      <c r="AG59" s="64" t="e">
        <f>AG58/AG57</f>
        <v>#DIV/0!</v>
      </c>
      <c r="AH59" s="65"/>
      <c r="AI59" s="64">
        <f>AI58/AI57</f>
        <v>1301.8690476190477</v>
      </c>
      <c r="AJ59" s="64">
        <f>AJ58/AJ57</f>
        <v>1564.3529411764705</v>
      </c>
      <c r="AK59" s="65"/>
      <c r="AL59" s="64">
        <f>AL58/AL57</f>
        <v>1046.8</v>
      </c>
      <c r="AM59" s="64">
        <f>AM58/AM57</f>
        <v>1024.8333333333333</v>
      </c>
      <c r="AN59" s="65"/>
      <c r="AO59" s="64">
        <f>AO58/AO57</f>
        <v>1274.7340425531916</v>
      </c>
      <c r="AP59" s="64">
        <f>AP58/AP57</f>
        <v>1439.0451612903225</v>
      </c>
      <c r="AQ59" s="65"/>
      <c r="AR59" s="64">
        <f>AR58/AR57</f>
        <v>7333.5</v>
      </c>
      <c r="AS59" s="64">
        <f>AS58/AS57</f>
        <v>819.64285714285711</v>
      </c>
      <c r="AT59" s="65"/>
      <c r="AU59" s="64">
        <f>AU58/AU57</f>
        <v>1400.9583333333333</v>
      </c>
      <c r="AV59" s="64">
        <f>AV58/AV57</f>
        <v>1387.7337278106509</v>
      </c>
      <c r="AW59" s="65"/>
      <c r="AX59" s="64" t="e">
        <f>AX58/AX57</f>
        <v>#DIV/0!</v>
      </c>
      <c r="AY59" s="64">
        <f>AY58/AY57</f>
        <v>3783</v>
      </c>
      <c r="AZ59" s="65"/>
      <c r="BA59" s="64">
        <f>BA58/BA57</f>
        <v>1419.0833333333333</v>
      </c>
      <c r="BB59" s="64">
        <f>BB58/BB57</f>
        <v>1401.8235294117646</v>
      </c>
      <c r="BC59" s="65"/>
      <c r="BD59" s="64">
        <f>BD58/BD57</f>
        <v>1107.8103448275863</v>
      </c>
      <c r="BE59" s="64">
        <f>BE58/BE57</f>
        <v>788.69230769230774</v>
      </c>
      <c r="BF59" s="65"/>
      <c r="BG59" s="64">
        <f>BG58/BG57</f>
        <v>1301.8506493506493</v>
      </c>
      <c r="BH59" s="64">
        <f>BH58/BH57</f>
        <v>1320.4897959183672</v>
      </c>
      <c r="BI59" s="65"/>
      <c r="BJ59" s="64">
        <f>BJ58/BJ57</f>
        <v>1344.6046511627908</v>
      </c>
      <c r="BK59" s="64">
        <f>BK58/BK57</f>
        <v>995.5333333333333</v>
      </c>
      <c r="BL59" s="65"/>
      <c r="BM59" s="64">
        <f>BM58/BM57</f>
        <v>1311.1827411167512</v>
      </c>
      <c r="BN59" s="64">
        <f>BN58/BN57</f>
        <v>1297.3886255924172</v>
      </c>
      <c r="BO59" s="65"/>
      <c r="BP59" s="64">
        <f>BP58/BP57</f>
        <v>1342.7027027027027</v>
      </c>
      <c r="BQ59" s="64">
        <f>BQ58/BQ57</f>
        <v>5578.181818181818</v>
      </c>
      <c r="BR59" s="65"/>
      <c r="BS59" s="64">
        <f>BS58/BS57</f>
        <v>1316.1666666666667</v>
      </c>
      <c r="BT59" s="64">
        <f>BT58/BT57</f>
        <v>1509.5</v>
      </c>
      <c r="BU59" s="65"/>
      <c r="BV59" s="64">
        <f>BV58/BV57</f>
        <v>1001.1428571428571</v>
      </c>
      <c r="BW59" s="64">
        <f>BW58/BW57</f>
        <v>2969.4444444444443</v>
      </c>
      <c r="BX59" s="65"/>
      <c r="BY59" s="64">
        <f>BY58/BY57</f>
        <v>1268.2282608695652</v>
      </c>
      <c r="BZ59" s="64">
        <f>BZ58/BZ57</f>
        <v>1618.9958333333334</v>
      </c>
      <c r="CA59" s="65"/>
      <c r="CB59" s="108"/>
    </row>
    <row r="60" spans="1:80" s="1" customFormat="1" ht="19.5" customHeight="1">
      <c r="A60" s="164" t="s">
        <v>177</v>
      </c>
      <c r="B60" s="133" t="s">
        <v>132</v>
      </c>
      <c r="C60" s="32" t="s">
        <v>42</v>
      </c>
      <c r="D60" s="66">
        <v>57412</v>
      </c>
      <c r="E60" s="66">
        <v>117710</v>
      </c>
      <c r="F60" s="66">
        <v>160474</v>
      </c>
      <c r="G60" s="66">
        <v>105631</v>
      </c>
      <c r="H60" s="66">
        <f>133531+4496</f>
        <v>138027</v>
      </c>
      <c r="I60" s="66">
        <f>99206+3415</f>
        <v>102621</v>
      </c>
      <c r="J60" s="66">
        <f>172243+4706</f>
        <v>176949</v>
      </c>
      <c r="K60" s="66">
        <f>8593+49</f>
        <v>8642</v>
      </c>
      <c r="L60" s="66">
        <f>9201+13</f>
        <v>9214</v>
      </c>
      <c r="M60" s="15">
        <f t="shared" si="0"/>
        <v>6.6188382318907557</v>
      </c>
      <c r="N60" s="63">
        <f>Q60-K60</f>
        <v>4001</v>
      </c>
      <c r="O60" s="63">
        <f>R60-L60</f>
        <v>10992</v>
      </c>
      <c r="P60" s="15">
        <f t="shared" si="1"/>
        <v>174.73131717070731</v>
      </c>
      <c r="Q60" s="66">
        <f>12535+108</f>
        <v>12643</v>
      </c>
      <c r="R60" s="66">
        <f>20193+13</f>
        <v>20206</v>
      </c>
      <c r="S60" s="15">
        <f t="shared" si="2"/>
        <v>59.819663054654761</v>
      </c>
      <c r="T60" s="63">
        <f>W60-Q60</f>
        <v>37577</v>
      </c>
      <c r="U60" s="63">
        <f>X60-R60</f>
        <v>13711</v>
      </c>
      <c r="V60" s="15">
        <f t="shared" ref="V60:V61" si="381">(U60/T60-1)*100</f>
        <v>-63.512254836735238</v>
      </c>
      <c r="W60" s="66">
        <f>49877+343</f>
        <v>50220</v>
      </c>
      <c r="X60" s="66">
        <f>30788+3129</f>
        <v>33917</v>
      </c>
      <c r="Y60" s="15">
        <f t="shared" ref="Y60:Y61" si="382">(X60/W60-1)*100</f>
        <v>-32.463162086817995</v>
      </c>
      <c r="Z60" s="63">
        <f>AC60-W60</f>
        <v>13994</v>
      </c>
      <c r="AA60" s="63">
        <f>AD60-X60</f>
        <v>18952</v>
      </c>
      <c r="AB60" s="15">
        <f t="shared" ref="AB60:AB61" si="383">(AA60/Z60-1)*100</f>
        <v>35.429469772759759</v>
      </c>
      <c r="AC60" s="66">
        <f>61851+2363</f>
        <v>64214</v>
      </c>
      <c r="AD60" s="66">
        <f>40590+12279</f>
        <v>52869</v>
      </c>
      <c r="AE60" s="15">
        <f t="shared" ref="AE60:AE61" si="384">(AD60/AC60-1)*100</f>
        <v>-17.667486840875824</v>
      </c>
      <c r="AF60" s="63">
        <f>AI60-AC60</f>
        <v>3467</v>
      </c>
      <c r="AG60" s="63">
        <f>AJ60-AD60</f>
        <v>6882</v>
      </c>
      <c r="AH60" s="15">
        <f t="shared" ref="AH60:AH61" si="385">(AG60/AF60-1)*100</f>
        <v>98.500144216902228</v>
      </c>
      <c r="AI60" s="66">
        <f>65240+2441</f>
        <v>67681</v>
      </c>
      <c r="AJ60" s="66">
        <v>59751</v>
      </c>
      <c r="AK60" s="15">
        <f t="shared" ref="AK60:AK61" si="386">(AJ60/AI60-1)*100</f>
        <v>-11.716729953753635</v>
      </c>
      <c r="AL60" s="63">
        <f>AO60-AI60</f>
        <v>13676</v>
      </c>
      <c r="AM60" s="63">
        <f>AP60-AJ60</f>
        <v>10767</v>
      </c>
      <c r="AN60" s="15">
        <f t="shared" ref="AN60:AN61" si="387">(AM60/AL60-1)*100</f>
        <v>-21.270839426732969</v>
      </c>
      <c r="AO60" s="66">
        <f>78817+2540</f>
        <v>81357</v>
      </c>
      <c r="AP60" s="66">
        <v>70518</v>
      </c>
      <c r="AQ60" s="15">
        <f t="shared" ref="AQ60:AQ61" si="388">(AP60/AO60-1)*100</f>
        <v>-13.322762638740372</v>
      </c>
      <c r="AR60" s="63">
        <f>AU60-AO60</f>
        <v>16761</v>
      </c>
      <c r="AS60" s="63">
        <f>AV60-AP60</f>
        <v>3847</v>
      </c>
      <c r="AT60" s="15">
        <f t="shared" ref="AT60:AT61" si="389">(AS60/AR60-1)*100</f>
        <v>-77.047908835988309</v>
      </c>
      <c r="AU60" s="66">
        <f>95554+2564</f>
        <v>98118</v>
      </c>
      <c r="AV60" s="66">
        <v>74365</v>
      </c>
      <c r="AW60" s="15">
        <f t="shared" ref="AW60:AW61" si="390">(AV60/AU60-1)*100</f>
        <v>-24.208605964247131</v>
      </c>
      <c r="AX60" s="63">
        <f>BA60-AU60</f>
        <v>23283</v>
      </c>
      <c r="AY60" s="63">
        <f>BB60-AV60</f>
        <v>14249</v>
      </c>
      <c r="AZ60" s="15">
        <f t="shared" ref="AZ60:AZ61" si="391">(AY60/AX60-1)*100</f>
        <v>-38.800841815917195</v>
      </c>
      <c r="BA60" s="66">
        <f>118827+2574</f>
        <v>121401</v>
      </c>
      <c r="BB60" s="66">
        <v>88614</v>
      </c>
      <c r="BC60" s="15">
        <f t="shared" ref="BC60:BC61" si="392">(BB60/BA60-1)*100</f>
        <v>-27.007191044554823</v>
      </c>
      <c r="BD60" s="63">
        <f>BG60-BA60</f>
        <v>13887</v>
      </c>
      <c r="BE60" s="63">
        <f>BH60-BB60</f>
        <v>11918</v>
      </c>
      <c r="BF60" s="15">
        <f t="shared" ref="BF60:BF61" si="393">(BE60/BD60-1)*100</f>
        <v>-14.178728307049759</v>
      </c>
      <c r="BG60" s="66">
        <f>132637+2651</f>
        <v>135288</v>
      </c>
      <c r="BH60" s="66">
        <v>100532</v>
      </c>
      <c r="BI60" s="15">
        <f t="shared" ref="BI60:BI61" si="394">(BH60/BG60-1)*100</f>
        <v>-25.690379043226308</v>
      </c>
      <c r="BJ60" s="63">
        <f>BM60-BG60</f>
        <v>11477</v>
      </c>
      <c r="BK60" s="63">
        <f>BN60-BH60</f>
        <v>2833</v>
      </c>
      <c r="BL60" s="15">
        <f t="shared" ref="BL60:BL61" si="395">(BK60/BJ60-1)*100</f>
        <v>-75.315849089483308</v>
      </c>
      <c r="BM60" s="66">
        <f>144105+2660</f>
        <v>146765</v>
      </c>
      <c r="BN60" s="66">
        <v>103365</v>
      </c>
      <c r="BO60" s="15">
        <f t="shared" ref="BO60:BO61" si="396">(BN60/BM60-1)*100</f>
        <v>-29.571083023881716</v>
      </c>
      <c r="BP60" s="63">
        <f>BS60-BM60</f>
        <v>21403</v>
      </c>
      <c r="BQ60" s="63">
        <f>BT60-BN60</f>
        <v>7560</v>
      </c>
      <c r="BR60" s="15">
        <f t="shared" ref="BR60:BR61" si="397">(BQ60/BP60-1)*100</f>
        <v>-64.67784889968695</v>
      </c>
      <c r="BS60" s="66">
        <f>163503+4665</f>
        <v>168168</v>
      </c>
      <c r="BT60" s="66">
        <v>110925</v>
      </c>
      <c r="BU60" s="15">
        <f t="shared" ref="BU60:BU61" si="398">(BT60/BS60-1)*100</f>
        <v>-34.039175110603679</v>
      </c>
      <c r="BV60" s="63">
        <f>BY60-BS60</f>
        <v>8781</v>
      </c>
      <c r="BW60" s="63">
        <f>BZ60-BT60</f>
        <v>9552</v>
      </c>
      <c r="BX60" s="15">
        <f t="shared" ref="BX60:BX61" si="399">(BW60/BV60-1)*100</f>
        <v>8.7803211479330336</v>
      </c>
      <c r="BY60" s="66">
        <f>172243+4706</f>
        <v>176949</v>
      </c>
      <c r="BZ60" s="66">
        <v>120477</v>
      </c>
      <c r="CA60" s="15">
        <f t="shared" ref="CA60:CA61" si="400">(BZ60/BY60-1)*100</f>
        <v>-31.914280385873894</v>
      </c>
      <c r="CB60" s="108"/>
    </row>
    <row r="61" spans="1:80" s="1" customFormat="1" ht="19.5" customHeight="1">
      <c r="A61" s="154"/>
      <c r="B61" s="167"/>
      <c r="C61" s="33" t="s">
        <v>104</v>
      </c>
      <c r="D61" s="17">
        <v>19023997</v>
      </c>
      <c r="E61" s="17">
        <v>58851116</v>
      </c>
      <c r="F61" s="17">
        <v>104327055</v>
      </c>
      <c r="G61" s="17">
        <v>50496420</v>
      </c>
      <c r="H61" s="17">
        <f>75975588+2373016</f>
        <v>78348604</v>
      </c>
      <c r="I61" s="17">
        <f>65742427+2257346</f>
        <v>67999773</v>
      </c>
      <c r="J61" s="17">
        <f>43308621+1753965</f>
        <v>45062586</v>
      </c>
      <c r="K61" s="17">
        <f>5206075+27022</f>
        <v>5233097</v>
      </c>
      <c r="L61" s="17">
        <f>1954403+7752</f>
        <v>1962155</v>
      </c>
      <c r="M61" s="18">
        <f t="shared" si="0"/>
        <v>-62.50489910659023</v>
      </c>
      <c r="N61" s="17">
        <f>Q61-K61</f>
        <v>2164148</v>
      </c>
      <c r="O61" s="17">
        <f>R61-L61</f>
        <v>2356805</v>
      </c>
      <c r="P61" s="18">
        <f t="shared" si="1"/>
        <v>8.9022100152115193</v>
      </c>
      <c r="Q61" s="17">
        <f>7341080+56165</f>
        <v>7397245</v>
      </c>
      <c r="R61" s="17">
        <f>4310733+8227</f>
        <v>4318960</v>
      </c>
      <c r="S61" s="18">
        <f t="shared" si="2"/>
        <v>-41.613938702854917</v>
      </c>
      <c r="T61" s="17">
        <f>W61-Q61</f>
        <v>4075626</v>
      </c>
      <c r="U61" s="17">
        <f>X61-R61</f>
        <v>2915652</v>
      </c>
      <c r="V61" s="18">
        <f t="shared" si="381"/>
        <v>-28.461247425548862</v>
      </c>
      <c r="W61" s="17">
        <f>11323602+149269</f>
        <v>11472871</v>
      </c>
      <c r="X61" s="17">
        <f>6527812+706800</f>
        <v>7234612</v>
      </c>
      <c r="Y61" s="18">
        <f t="shared" si="382"/>
        <v>-36.941572863496852</v>
      </c>
      <c r="Z61" s="17">
        <f>AC61-W61</f>
        <v>6777699</v>
      </c>
      <c r="AA61" s="17">
        <f>AD61-X61</f>
        <v>4125883</v>
      </c>
      <c r="AB61" s="18">
        <f t="shared" si="383"/>
        <v>-39.125608853388151</v>
      </c>
      <c r="AC61" s="17">
        <f>17117540+1133030</f>
        <v>18250570</v>
      </c>
      <c r="AD61" s="17">
        <f>8664945+2695550</f>
        <v>11360495</v>
      </c>
      <c r="AE61" s="18">
        <f t="shared" si="384"/>
        <v>-37.752656492372573</v>
      </c>
      <c r="AF61" s="17">
        <f>AI61-AC61</f>
        <v>1621926</v>
      </c>
      <c r="AG61" s="17">
        <f>AJ61-AD61</f>
        <v>1651213</v>
      </c>
      <c r="AH61" s="18">
        <f t="shared" si="385"/>
        <v>1.8056927381397081</v>
      </c>
      <c r="AI61" s="17">
        <f>18689526+1182970</f>
        <v>19872496</v>
      </c>
      <c r="AJ61" s="17">
        <f>10308326+2703382</f>
        <v>13011708</v>
      </c>
      <c r="AK61" s="18">
        <f t="shared" si="386"/>
        <v>-34.524037644793083</v>
      </c>
      <c r="AL61" s="17">
        <f>AO61-AI61</f>
        <v>5051134</v>
      </c>
      <c r="AM61" s="17">
        <f>AP61-AJ61</f>
        <v>1744253</v>
      </c>
      <c r="AN61" s="18">
        <f t="shared" si="387"/>
        <v>-65.468090927700587</v>
      </c>
      <c r="AO61" s="17">
        <f>23676422+1247208</f>
        <v>24923630</v>
      </c>
      <c r="AP61" s="17">
        <f>12048133+2707828</f>
        <v>14755961</v>
      </c>
      <c r="AQ61" s="18">
        <f t="shared" si="388"/>
        <v>-40.795297474725785</v>
      </c>
      <c r="AR61" s="17">
        <f>AU61-AO61</f>
        <v>5785638</v>
      </c>
      <c r="AS61" s="17">
        <f>AV61-AP61</f>
        <v>551645</v>
      </c>
      <c r="AT61" s="18">
        <f t="shared" si="389"/>
        <v>-90.46526934453901</v>
      </c>
      <c r="AU61" s="17">
        <f>29432453+1276815</f>
        <v>30709268</v>
      </c>
      <c r="AV61" s="17">
        <f>12578213+2729393</f>
        <v>15307606</v>
      </c>
      <c r="AW61" s="18">
        <f t="shared" si="390"/>
        <v>-50.153139436602657</v>
      </c>
      <c r="AX61" s="17">
        <f>BA61-AU61</f>
        <v>3064859</v>
      </c>
      <c r="AY61" s="17">
        <f>BB61-AV61</f>
        <v>2811816</v>
      </c>
      <c r="AZ61" s="18">
        <f t="shared" si="391"/>
        <v>-8.2562688854528119</v>
      </c>
      <c r="BA61" s="17">
        <f>32484577+1289550</f>
        <v>33774127</v>
      </c>
      <c r="BB61" s="17">
        <f>13926535+4192887</f>
        <v>18119422</v>
      </c>
      <c r="BC61" s="18">
        <f t="shared" si="392"/>
        <v>-46.351175857187954</v>
      </c>
      <c r="BD61" s="17">
        <f>BG61-BA61</f>
        <v>3643295</v>
      </c>
      <c r="BE61" s="17">
        <f>BH61-BB61</f>
        <v>2145938</v>
      </c>
      <c r="BF61" s="18">
        <f t="shared" si="393"/>
        <v>-41.098977711110408</v>
      </c>
      <c r="BG61" s="17">
        <f>36073795+1343627</f>
        <v>37417422</v>
      </c>
      <c r="BH61" s="17">
        <f>15889305+4376055</f>
        <v>20265360</v>
      </c>
      <c r="BI61" s="18">
        <f t="shared" si="394"/>
        <v>-45.839774851404783</v>
      </c>
      <c r="BJ61" s="17">
        <f>BM61-BG61</f>
        <v>2805156</v>
      </c>
      <c r="BK61" s="17">
        <f>BN61-BH61</f>
        <v>523390</v>
      </c>
      <c r="BL61" s="18">
        <f t="shared" si="395"/>
        <v>-81.341857636438036</v>
      </c>
      <c r="BM61" s="17">
        <f>38858479+1364099</f>
        <v>40222578</v>
      </c>
      <c r="BN61" s="17">
        <f>16405313+4383437</f>
        <v>20788750</v>
      </c>
      <c r="BO61" s="18">
        <f t="shared" si="396"/>
        <v>-48.315719594104593</v>
      </c>
      <c r="BP61" s="17">
        <f>BS61-BM61</f>
        <v>2828480</v>
      </c>
      <c r="BQ61" s="17">
        <f>BT61-BN61</f>
        <v>1368456</v>
      </c>
      <c r="BR61" s="18">
        <f t="shared" si="397"/>
        <v>-51.618678583550178</v>
      </c>
      <c r="BS61" s="17">
        <f>41311577+1739481</f>
        <v>43051058</v>
      </c>
      <c r="BT61" s="17">
        <f>17756149+4401057</f>
        <v>22157206</v>
      </c>
      <c r="BU61" s="18">
        <f t="shared" si="398"/>
        <v>-48.532725955306368</v>
      </c>
      <c r="BV61" s="17">
        <f>BY61-BS61</f>
        <v>2011528</v>
      </c>
      <c r="BW61" s="17">
        <f>BZ61-BT61</f>
        <v>1694905</v>
      </c>
      <c r="BX61" s="18">
        <f t="shared" si="399"/>
        <v>-15.740422206402293</v>
      </c>
      <c r="BY61" s="17">
        <f>43308621+1753965</f>
        <v>45062586</v>
      </c>
      <c r="BZ61" s="17">
        <v>23852111</v>
      </c>
      <c r="CA61" s="18">
        <f t="shared" si="400"/>
        <v>-47.068925427404452</v>
      </c>
      <c r="CB61" s="108"/>
    </row>
    <row r="62" spans="1:80" s="1" customFormat="1" ht="19.5" customHeight="1">
      <c r="A62" s="155"/>
      <c r="B62" s="168"/>
      <c r="C62" s="93" t="s">
        <v>105</v>
      </c>
      <c r="D62" s="64">
        <f t="shared" ref="D62:L62" si="401">D61/D60</f>
        <v>331.35924545391208</v>
      </c>
      <c r="E62" s="64">
        <f t="shared" si="401"/>
        <v>499.96700365304559</v>
      </c>
      <c r="F62" s="64">
        <f t="shared" si="401"/>
        <v>650.11811882298696</v>
      </c>
      <c r="G62" s="64">
        <f t="shared" si="401"/>
        <v>478.04546013954234</v>
      </c>
      <c r="H62" s="64">
        <f>H61/H60</f>
        <v>567.63244872380039</v>
      </c>
      <c r="I62" s="64">
        <f>I61/I60</f>
        <v>662.63019265062701</v>
      </c>
      <c r="J62" s="64">
        <f>J61/J60</f>
        <v>254.6642591933269</v>
      </c>
      <c r="K62" s="64">
        <f t="shared" si="401"/>
        <v>605.54235130756774</v>
      </c>
      <c r="L62" s="64">
        <f t="shared" si="401"/>
        <v>212.95365747775125</v>
      </c>
      <c r="M62" s="65"/>
      <c r="N62" s="64">
        <f>N61/N60</f>
        <v>540.90177455636092</v>
      </c>
      <c r="O62" s="64">
        <f>O61/O60</f>
        <v>214.41093522561863</v>
      </c>
      <c r="P62" s="65"/>
      <c r="Q62" s="64">
        <f>Q61/Q60</f>
        <v>585.08621371509923</v>
      </c>
      <c r="R62" s="64">
        <f>R61/R60</f>
        <v>213.7464119568445</v>
      </c>
      <c r="S62" s="65"/>
      <c r="T62" s="64">
        <f>T61/T60</f>
        <v>108.46065412353302</v>
      </c>
      <c r="U62" s="64">
        <f>U61/U60</f>
        <v>212.6505725330027</v>
      </c>
      <c r="V62" s="65"/>
      <c r="W62" s="64">
        <f>W61/W60</f>
        <v>228.45223018717641</v>
      </c>
      <c r="X62" s="64">
        <f>X61/X60</f>
        <v>213.30341716543327</v>
      </c>
      <c r="Y62" s="65"/>
      <c r="Z62" s="64">
        <f>Z61/Z60</f>
        <v>484.32892668286411</v>
      </c>
      <c r="AA62" s="64">
        <f>AA61/AA60</f>
        <v>217.70172013507809</v>
      </c>
      <c r="AB62" s="65"/>
      <c r="AC62" s="64">
        <f>AC61/AC60</f>
        <v>284.21481296913447</v>
      </c>
      <c r="AD62" s="64">
        <f>AD61/AD60</f>
        <v>214.88008095481283</v>
      </c>
      <c r="AE62" s="65"/>
      <c r="AF62" s="64">
        <f>AF61/AF60</f>
        <v>467.81828670320164</v>
      </c>
      <c r="AG62" s="64">
        <f>AG61/AG60</f>
        <v>239.93214181923858</v>
      </c>
      <c r="AH62" s="65"/>
      <c r="AI62" s="64">
        <f>AI61/AI60</f>
        <v>293.6200115246524</v>
      </c>
      <c r="AJ62" s="64">
        <f>AJ61/AJ60</f>
        <v>217.76552693678767</v>
      </c>
      <c r="AK62" s="65"/>
      <c r="AL62" s="64">
        <f>AL61/AL60</f>
        <v>369.34293653114946</v>
      </c>
      <c r="AM62" s="64">
        <f>AM61/AM60</f>
        <v>161.99990712361847</v>
      </c>
      <c r="AN62" s="65"/>
      <c r="AO62" s="64">
        <f>AO61/AO60</f>
        <v>306.3489312536106</v>
      </c>
      <c r="AP62" s="64">
        <f>AP61/AP60</f>
        <v>209.25098556396949</v>
      </c>
      <c r="AQ62" s="65"/>
      <c r="AR62" s="64">
        <f>AR61/AR60</f>
        <v>345.18453552890639</v>
      </c>
      <c r="AS62" s="64">
        <f>AS61/AS60</f>
        <v>143.39615284637381</v>
      </c>
      <c r="AT62" s="65"/>
      <c r="AU62" s="64">
        <f>AU61/AU60</f>
        <v>312.9830204447706</v>
      </c>
      <c r="AV62" s="64">
        <f>AV61/AV60</f>
        <v>205.84422779533384</v>
      </c>
      <c r="AW62" s="65"/>
      <c r="AX62" s="64">
        <f>AX61/AX60</f>
        <v>131.63505561998025</v>
      </c>
      <c r="AY62" s="64">
        <f>AY61/AY60</f>
        <v>197.3342690715138</v>
      </c>
      <c r="AZ62" s="65"/>
      <c r="BA62" s="64">
        <f>BA61/BA60</f>
        <v>278.20303786624493</v>
      </c>
      <c r="BB62" s="64">
        <f>BB61/BB60</f>
        <v>204.47583903220709</v>
      </c>
      <c r="BC62" s="65"/>
      <c r="BD62" s="64">
        <f>BD61/BD60</f>
        <v>262.35291999711961</v>
      </c>
      <c r="BE62" s="64">
        <f>BE61/BE60</f>
        <v>180.05856687363652</v>
      </c>
      <c r="BF62" s="65"/>
      <c r="BG62" s="64">
        <f>BG61/BG60</f>
        <v>276.57605996097215</v>
      </c>
      <c r="BH62" s="64">
        <f>BH61/BH60</f>
        <v>201.5811880794175</v>
      </c>
      <c r="BI62" s="65"/>
      <c r="BJ62" s="64">
        <f>BJ61/BJ60</f>
        <v>244.41543957480178</v>
      </c>
      <c r="BK62" s="64">
        <f>BK61/BK60</f>
        <v>184.74761736674904</v>
      </c>
      <c r="BL62" s="65"/>
      <c r="BM62" s="64">
        <f>BM61/BM60</f>
        <v>274.06110448676458</v>
      </c>
      <c r="BN62" s="64">
        <f>BN61/BN60</f>
        <v>201.11981812025348</v>
      </c>
      <c r="BO62" s="65"/>
      <c r="BP62" s="64">
        <f>BP61/BP60</f>
        <v>132.15343643414474</v>
      </c>
      <c r="BQ62" s="64">
        <f>BQ61/BQ60</f>
        <v>181.01269841269843</v>
      </c>
      <c r="BR62" s="65"/>
      <c r="BS62" s="64">
        <f>BS61/BS60</f>
        <v>256.0002973217259</v>
      </c>
      <c r="BT62" s="64">
        <f>BT61/BT60</f>
        <v>199.74943430245662</v>
      </c>
      <c r="BU62" s="65"/>
      <c r="BV62" s="64">
        <f>BV61/BV60</f>
        <v>229.07732604486961</v>
      </c>
      <c r="BW62" s="64">
        <f>BW61/BW60</f>
        <v>177.43980318257957</v>
      </c>
      <c r="BX62" s="65"/>
      <c r="BY62" s="64">
        <f>BY61/BY60</f>
        <v>254.6642591933269</v>
      </c>
      <c r="BZ62" s="64">
        <f>BZ61/BZ60</f>
        <v>197.98061870730513</v>
      </c>
      <c r="CA62" s="65"/>
      <c r="CB62" s="108"/>
    </row>
    <row r="63" spans="1:80" s="1" customFormat="1" ht="19.5" customHeight="1">
      <c r="A63" s="151" t="s">
        <v>178</v>
      </c>
      <c r="B63" s="133" t="s">
        <v>133</v>
      </c>
      <c r="C63" s="32" t="s">
        <v>42</v>
      </c>
      <c r="D63" s="66">
        <v>7049</v>
      </c>
      <c r="E63" s="66">
        <v>7680</v>
      </c>
      <c r="F63" s="66">
        <v>37278</v>
      </c>
      <c r="G63" s="66">
        <v>6464</v>
      </c>
      <c r="H63" s="66">
        <f>5430+5539</f>
        <v>10969</v>
      </c>
      <c r="I63" s="66">
        <f>20403+11955</f>
        <v>32358</v>
      </c>
      <c r="J63" s="66">
        <f>5416+7856</f>
        <v>13272</v>
      </c>
      <c r="K63" s="66">
        <f>107+709</f>
        <v>816</v>
      </c>
      <c r="L63" s="66">
        <f>148+562</f>
        <v>710</v>
      </c>
      <c r="M63" s="15">
        <f t="shared" si="0"/>
        <v>-12.990196078431371</v>
      </c>
      <c r="N63" s="63">
        <f>Q63-K63</f>
        <v>1849</v>
      </c>
      <c r="O63" s="63">
        <f>R63-L63</f>
        <v>1011</v>
      </c>
      <c r="P63" s="15">
        <f t="shared" si="1"/>
        <v>-45.321795565170362</v>
      </c>
      <c r="Q63" s="66">
        <f>315+2350</f>
        <v>2665</v>
      </c>
      <c r="R63" s="66">
        <f>871+850</f>
        <v>1721</v>
      </c>
      <c r="S63" s="15">
        <f t="shared" si="2"/>
        <v>-35.422138836772987</v>
      </c>
      <c r="T63" s="63">
        <f>W63-Q63</f>
        <v>1335</v>
      </c>
      <c r="U63" s="63">
        <f>X63-R63</f>
        <v>775</v>
      </c>
      <c r="V63" s="15">
        <f t="shared" ref="V63:V64" si="402">(U63/T63-1)*100</f>
        <v>-41.947565543071164</v>
      </c>
      <c r="W63" s="66">
        <f>316+3684</f>
        <v>4000</v>
      </c>
      <c r="X63" s="66">
        <f>896+1600</f>
        <v>2496</v>
      </c>
      <c r="Y63" s="15">
        <f t="shared" ref="Y63:Y64" si="403">(X63/W63-1)*100</f>
        <v>-37.6</v>
      </c>
      <c r="Z63" s="63">
        <f>AC63-W63</f>
        <v>508</v>
      </c>
      <c r="AA63" s="63">
        <f>AD63-X63</f>
        <v>288</v>
      </c>
      <c r="AB63" s="15">
        <f t="shared" ref="AB63:AB64" si="404">(AA63/Z63-1)*100</f>
        <v>-43.30708661417323</v>
      </c>
      <c r="AC63" s="66">
        <f>328+4180</f>
        <v>4508</v>
      </c>
      <c r="AD63" s="66">
        <f>983+1801</f>
        <v>2784</v>
      </c>
      <c r="AE63" s="15">
        <f t="shared" ref="AE63:AE64" si="405">(AD63/AC63-1)*100</f>
        <v>-38.243123336291042</v>
      </c>
      <c r="AF63" s="63">
        <f>AI63-AC63</f>
        <v>1122</v>
      </c>
      <c r="AG63" s="63">
        <f>AJ63-AD63</f>
        <v>8998</v>
      </c>
      <c r="AH63" s="15">
        <f t="shared" ref="AH63:AH64" si="406">(AG63/AF63-1)*100</f>
        <v>701.96078431372553</v>
      </c>
      <c r="AI63" s="66">
        <f>704+4926</f>
        <v>5630</v>
      </c>
      <c r="AJ63" s="66">
        <v>11782</v>
      </c>
      <c r="AK63" s="15">
        <f t="shared" ref="AK63:AK64" si="407">(AJ63/AI63-1)*100</f>
        <v>109.27175843694492</v>
      </c>
      <c r="AL63" s="63">
        <f>AO63-AI63</f>
        <v>1003</v>
      </c>
      <c r="AM63" s="63">
        <f>AP63-AJ63</f>
        <v>728</v>
      </c>
      <c r="AN63" s="15">
        <f t="shared" ref="AN63:AN64" si="408">(AM63/AL63-1)*100</f>
        <v>-27.417746759720842</v>
      </c>
      <c r="AO63" s="66">
        <f>1459+5174</f>
        <v>6633</v>
      </c>
      <c r="AP63" s="66">
        <v>12510</v>
      </c>
      <c r="AQ63" s="15">
        <f t="shared" ref="AQ63:AQ64" si="409">(AP63/AO63-1)*100</f>
        <v>88.602442333785632</v>
      </c>
      <c r="AR63" s="63">
        <f>AU63-AO63</f>
        <v>1059</v>
      </c>
      <c r="AS63" s="63">
        <f>AV63-AP63</f>
        <v>599</v>
      </c>
      <c r="AT63" s="15">
        <f t="shared" ref="AT63:AT64" si="410">(AS63/AR63-1)*100</f>
        <v>-43.437204910292728</v>
      </c>
      <c r="AU63" s="66">
        <f>2320+5372</f>
        <v>7692</v>
      </c>
      <c r="AV63" s="66">
        <v>13109</v>
      </c>
      <c r="AW63" s="15">
        <f t="shared" ref="AW63:AW64" si="411">(AV63/AU63-1)*100</f>
        <v>70.423816952678095</v>
      </c>
      <c r="AX63" s="63">
        <f>BA63-AU63</f>
        <v>1592</v>
      </c>
      <c r="AY63" s="63">
        <f>BB63-AV63</f>
        <v>569</v>
      </c>
      <c r="AZ63" s="15">
        <f t="shared" ref="AZ63:AZ64" si="412">(AY63/AX63-1)*100</f>
        <v>-64.258793969849251</v>
      </c>
      <c r="BA63" s="66">
        <f>2838+6446</f>
        <v>9284</v>
      </c>
      <c r="BB63" s="66">
        <v>13678</v>
      </c>
      <c r="BC63" s="15">
        <f t="shared" ref="BC63:BC64" si="413">(BB63/BA63-1)*100</f>
        <v>47.328737613097793</v>
      </c>
      <c r="BD63" s="63">
        <f>BG63-BA63</f>
        <v>1025</v>
      </c>
      <c r="BE63" s="63">
        <f>BH63-BB63</f>
        <v>884</v>
      </c>
      <c r="BF63" s="15">
        <f t="shared" ref="BF63:BF64" si="414">(BE63/BD63-1)*100</f>
        <v>-13.756097560975611</v>
      </c>
      <c r="BG63" s="66">
        <f>3627+6682</f>
        <v>10309</v>
      </c>
      <c r="BH63" s="66">
        <v>14562</v>
      </c>
      <c r="BI63" s="15">
        <f t="shared" ref="BI63:BI64" si="415">(BH63/BG63-1)*100</f>
        <v>41.255213890775046</v>
      </c>
      <c r="BJ63" s="63">
        <f>BM63-BG63</f>
        <v>1057</v>
      </c>
      <c r="BK63" s="63">
        <f>BN63-BH63</f>
        <v>628</v>
      </c>
      <c r="BL63" s="15">
        <f t="shared" ref="BL63:BL64" si="416">(BK63/BJ63-1)*100</f>
        <v>-40.586565752128664</v>
      </c>
      <c r="BM63" s="66">
        <f>4394+6972</f>
        <v>11366</v>
      </c>
      <c r="BN63" s="66">
        <v>15190</v>
      </c>
      <c r="BO63" s="15">
        <f t="shared" ref="BO63:BO64" si="417">(BN63/BM63-1)*100</f>
        <v>33.644202005982748</v>
      </c>
      <c r="BP63" s="63">
        <f>BS63-BM63</f>
        <v>938</v>
      </c>
      <c r="BQ63" s="63">
        <f>BT63-BN63</f>
        <v>1171</v>
      </c>
      <c r="BR63" s="15">
        <f t="shared" ref="BR63:BR64" si="418">(BQ63/BP63-1)*100</f>
        <v>24.840085287846492</v>
      </c>
      <c r="BS63" s="66">
        <f>5034+7270</f>
        <v>12304</v>
      </c>
      <c r="BT63" s="66">
        <v>16361</v>
      </c>
      <c r="BU63" s="15">
        <f t="shared" ref="BU63:BU64" si="419">(BT63/BS63-1)*100</f>
        <v>32.973016905071532</v>
      </c>
      <c r="BV63" s="63">
        <f>BY63-BS63</f>
        <v>968</v>
      </c>
      <c r="BW63" s="63">
        <f>BZ63-BT63</f>
        <v>1132</v>
      </c>
      <c r="BX63" s="15">
        <f t="shared" ref="BX63:BX64" si="420">(BW63/BV63-1)*100</f>
        <v>16.942148760330578</v>
      </c>
      <c r="BY63" s="66">
        <f>5416+7856</f>
        <v>13272</v>
      </c>
      <c r="BZ63" s="66">
        <v>17493</v>
      </c>
      <c r="CA63" s="15">
        <f t="shared" ref="CA63:CA64" si="421">(BZ63/BY63-1)*100</f>
        <v>31.803797468354421</v>
      </c>
      <c r="CB63" s="108"/>
    </row>
    <row r="64" spans="1:80" s="1" customFormat="1" ht="19.5" customHeight="1">
      <c r="A64" s="165"/>
      <c r="B64" s="167"/>
      <c r="C64" s="33" t="s">
        <v>104</v>
      </c>
      <c r="D64" s="17">
        <v>2442399</v>
      </c>
      <c r="E64" s="17">
        <f>482+2706</f>
        <v>3188</v>
      </c>
      <c r="F64" s="17">
        <v>5932981</v>
      </c>
      <c r="G64" s="17">
        <v>2439411</v>
      </c>
      <c r="H64" s="17">
        <f>484148+2042876</f>
        <v>2527024</v>
      </c>
      <c r="I64" s="17">
        <f>1641714+5892616</f>
        <v>7534330</v>
      </c>
      <c r="J64" s="17">
        <f>1287625+3583420</f>
        <v>4871045</v>
      </c>
      <c r="K64" s="17">
        <f>6984+337722</f>
        <v>344706</v>
      </c>
      <c r="L64" s="17">
        <f>39613+101250</f>
        <v>140863</v>
      </c>
      <c r="M64" s="18">
        <f t="shared" si="0"/>
        <v>-59.13532111422488</v>
      </c>
      <c r="N64" s="17">
        <f>Q64-K64</f>
        <v>917234</v>
      </c>
      <c r="O64" s="17">
        <f>R64-L64</f>
        <v>261731</v>
      </c>
      <c r="P64" s="18">
        <f t="shared" si="1"/>
        <v>-71.465187727450143</v>
      </c>
      <c r="Q64" s="17">
        <f>37918+1224022</f>
        <v>1261940</v>
      </c>
      <c r="R64" s="17">
        <f>214078+188516</f>
        <v>402594</v>
      </c>
      <c r="S64" s="18">
        <f t="shared" si="2"/>
        <v>-68.097215398513399</v>
      </c>
      <c r="T64" s="17">
        <f>W64-Q64</f>
        <v>701449</v>
      </c>
      <c r="U64" s="17">
        <f>X64-R64</f>
        <v>185328</v>
      </c>
      <c r="V64" s="18">
        <f t="shared" si="402"/>
        <v>-73.579262355495544</v>
      </c>
      <c r="W64" s="17">
        <f>38897+1924492</f>
        <v>1963389</v>
      </c>
      <c r="X64" s="17">
        <f>284999+302923</f>
        <v>587922</v>
      </c>
      <c r="Y64" s="18">
        <f t="shared" si="403"/>
        <v>-70.055755634772339</v>
      </c>
      <c r="Z64" s="17">
        <f>AC64-W64</f>
        <v>199713</v>
      </c>
      <c r="AA64" s="17">
        <f>AD64-X64</f>
        <v>124142</v>
      </c>
      <c r="AB64" s="18">
        <f t="shared" si="404"/>
        <v>-37.83980011316239</v>
      </c>
      <c r="AC64" s="17">
        <f>40917+2122185</f>
        <v>2163102</v>
      </c>
      <c r="AD64" s="17">
        <f>360961+351103</f>
        <v>712064</v>
      </c>
      <c r="AE64" s="18">
        <f t="shared" si="405"/>
        <v>-67.081348914660524</v>
      </c>
      <c r="AF64" s="17">
        <f>AI64-AC64</f>
        <v>285067</v>
      </c>
      <c r="AG64" s="17">
        <f>AJ64-AD64</f>
        <v>819613</v>
      </c>
      <c r="AH64" s="18">
        <f t="shared" si="406"/>
        <v>187.51591731066731</v>
      </c>
      <c r="AI64" s="17">
        <f>178273+2269896</f>
        <v>2448169</v>
      </c>
      <c r="AJ64" s="17">
        <f>408235+1123442</f>
        <v>1531677</v>
      </c>
      <c r="AK64" s="18">
        <f t="shared" si="407"/>
        <v>-37.435814275893534</v>
      </c>
      <c r="AL64" s="17">
        <f>AO64-AI64</f>
        <v>291564</v>
      </c>
      <c r="AM64" s="17">
        <f>AP64-AJ64</f>
        <v>410667</v>
      </c>
      <c r="AN64" s="18">
        <f t="shared" si="408"/>
        <v>40.849693377783261</v>
      </c>
      <c r="AO64" s="17">
        <f>345252+2394481</f>
        <v>2739733</v>
      </c>
      <c r="AP64" s="17">
        <f>409989+1532355</f>
        <v>1942344</v>
      </c>
      <c r="AQ64" s="18">
        <f t="shared" si="409"/>
        <v>-29.10462442873083</v>
      </c>
      <c r="AR64" s="17">
        <f>AU64-AO64</f>
        <v>325658</v>
      </c>
      <c r="AS64" s="17">
        <f>AV64-AP64</f>
        <v>183645</v>
      </c>
      <c r="AT64" s="18">
        <f t="shared" si="410"/>
        <v>-43.608018227711277</v>
      </c>
      <c r="AU64" s="17">
        <f>519411+2545980</f>
        <v>3065391</v>
      </c>
      <c r="AV64" s="17">
        <f>547622+1578367</f>
        <v>2125989</v>
      </c>
      <c r="AW64" s="18">
        <f t="shared" si="411"/>
        <v>-30.645421742283453</v>
      </c>
      <c r="AX64" s="17">
        <f>BA64-AU64</f>
        <v>739543</v>
      </c>
      <c r="AY64" s="17">
        <f>BB64-AV64</f>
        <v>161000</v>
      </c>
      <c r="AZ64" s="18">
        <f t="shared" si="412"/>
        <v>-78.22979867296425</v>
      </c>
      <c r="BA64" s="17">
        <f>659198+3145736</f>
        <v>3804934</v>
      </c>
      <c r="BB64" s="17">
        <f>626351+1660638</f>
        <v>2286989</v>
      </c>
      <c r="BC64" s="18">
        <f t="shared" si="413"/>
        <v>-39.89412168515932</v>
      </c>
      <c r="BD64" s="17">
        <f>BG64-BA64</f>
        <v>306080</v>
      </c>
      <c r="BE64" s="17">
        <f>BH64-BB64</f>
        <v>173179</v>
      </c>
      <c r="BF64" s="18">
        <f t="shared" si="414"/>
        <v>-43.420347621536848</v>
      </c>
      <c r="BG64" s="17">
        <f>838576+3272438</f>
        <v>4111014</v>
      </c>
      <c r="BH64" s="17">
        <f>763893+1696275</f>
        <v>2460168</v>
      </c>
      <c r="BI64" s="18">
        <f t="shared" si="415"/>
        <v>-40.156662078990735</v>
      </c>
      <c r="BJ64" s="17">
        <f>BM64-BG64</f>
        <v>235120</v>
      </c>
      <c r="BK64" s="17">
        <f>BN64-BH64</f>
        <v>231244</v>
      </c>
      <c r="BL64" s="18">
        <f t="shared" si="416"/>
        <v>-1.6485199047294952</v>
      </c>
      <c r="BM64" s="17">
        <f>1016809+3329325</f>
        <v>4346134</v>
      </c>
      <c r="BN64" s="17">
        <f>879317+1812095</f>
        <v>2691412</v>
      </c>
      <c r="BO64" s="18">
        <f t="shared" si="417"/>
        <v>-38.073423414924626</v>
      </c>
      <c r="BP64" s="17">
        <f>BS64-BM64</f>
        <v>227007</v>
      </c>
      <c r="BQ64" s="17">
        <f>BT64-BN64</f>
        <v>143122</v>
      </c>
      <c r="BR64" s="18">
        <f t="shared" si="418"/>
        <v>-36.952604985749339</v>
      </c>
      <c r="BS64" s="17">
        <f>1190418+3382723</f>
        <v>4573141</v>
      </c>
      <c r="BT64" s="17">
        <f>979425+1855109</f>
        <v>2834534</v>
      </c>
      <c r="BU64" s="18">
        <f t="shared" si="419"/>
        <v>-38.017786899638558</v>
      </c>
      <c r="BV64" s="17">
        <f>BY64-BS64</f>
        <v>297904</v>
      </c>
      <c r="BW64" s="17">
        <f>BZ64-BT64</f>
        <v>147818</v>
      </c>
      <c r="BX64" s="18">
        <f t="shared" si="420"/>
        <v>-50.380659541328754</v>
      </c>
      <c r="BY64" s="17">
        <f>1287625+3583420</f>
        <v>4871045</v>
      </c>
      <c r="BZ64" s="17">
        <f>1045129+1937223</f>
        <v>2982352</v>
      </c>
      <c r="CA64" s="18">
        <f t="shared" si="421"/>
        <v>-38.77387706334062</v>
      </c>
      <c r="CB64" s="108"/>
    </row>
    <row r="65" spans="1:80" s="1" customFormat="1" ht="19.5" customHeight="1">
      <c r="A65" s="166"/>
      <c r="B65" s="168"/>
      <c r="C65" s="93" t="s">
        <v>105</v>
      </c>
      <c r="D65" s="64">
        <f t="shared" ref="D65:L65" si="422">D64/D63</f>
        <v>346.48872180451127</v>
      </c>
      <c r="E65" s="64">
        <f t="shared" si="422"/>
        <v>0.41510416666666666</v>
      </c>
      <c r="F65" s="64">
        <f t="shared" si="422"/>
        <v>159.15502441118085</v>
      </c>
      <c r="G65" s="64">
        <f t="shared" si="422"/>
        <v>377.38412747524751</v>
      </c>
      <c r="H65" s="64">
        <f>H64/H63</f>
        <v>230.37870361929072</v>
      </c>
      <c r="I65" s="64">
        <f>I64/I63</f>
        <v>232.84288274924285</v>
      </c>
      <c r="J65" s="64">
        <f>J64/J63</f>
        <v>367.01665159734779</v>
      </c>
      <c r="K65" s="64">
        <f t="shared" si="422"/>
        <v>422.43382352941177</v>
      </c>
      <c r="L65" s="64">
        <f t="shared" si="422"/>
        <v>198.39859154929579</v>
      </c>
      <c r="M65" s="65"/>
      <c r="N65" s="64">
        <f>N64/N63</f>
        <v>496.07030827474313</v>
      </c>
      <c r="O65" s="64">
        <f>O64/O63</f>
        <v>258.88328387734919</v>
      </c>
      <c r="P65" s="65"/>
      <c r="Q65" s="64">
        <f>Q64/Q63</f>
        <v>473.52345215759851</v>
      </c>
      <c r="R65" s="64">
        <f>R64/R63</f>
        <v>233.9302730970366</v>
      </c>
      <c r="S65" s="65"/>
      <c r="T65" s="64">
        <f>T64/T63</f>
        <v>525.42996254681645</v>
      </c>
      <c r="U65" s="64">
        <f>U64/U63</f>
        <v>239.13290322580644</v>
      </c>
      <c r="V65" s="65"/>
      <c r="W65" s="64">
        <f>W64/W63</f>
        <v>490.84724999999997</v>
      </c>
      <c r="X65" s="64">
        <f>X64/X63</f>
        <v>235.54567307692307</v>
      </c>
      <c r="Y65" s="65"/>
      <c r="Z65" s="64">
        <f>Z64/Z63</f>
        <v>393.13582677165357</v>
      </c>
      <c r="AA65" s="64">
        <f>AA64/AA63</f>
        <v>431.04861111111109</v>
      </c>
      <c r="AB65" s="65"/>
      <c r="AC65" s="64">
        <f>AC64/AC63</f>
        <v>479.8362910381544</v>
      </c>
      <c r="AD65" s="64">
        <f>AD64/AD63</f>
        <v>255.77011494252875</v>
      </c>
      <c r="AE65" s="65"/>
      <c r="AF65" s="64">
        <f>AF64/AF63</f>
        <v>254.07040998217468</v>
      </c>
      <c r="AG65" s="64">
        <f>AG64/AG63</f>
        <v>91.088352967326074</v>
      </c>
      <c r="AH65" s="65"/>
      <c r="AI65" s="64">
        <f>AI64/AI63</f>
        <v>434.84351687388988</v>
      </c>
      <c r="AJ65" s="64">
        <f>AJ64/AJ63</f>
        <v>130.00144287896791</v>
      </c>
      <c r="AK65" s="65"/>
      <c r="AL65" s="64">
        <f>AL64/AL63</f>
        <v>290.69192422731805</v>
      </c>
      <c r="AM65" s="64">
        <f>AM64/AM63</f>
        <v>564.10302197802196</v>
      </c>
      <c r="AN65" s="65"/>
      <c r="AO65" s="64">
        <f>AO64/AO63</f>
        <v>413.0458314488165</v>
      </c>
      <c r="AP65" s="64">
        <f>AP64/AP63</f>
        <v>155.26330935251798</v>
      </c>
      <c r="AQ65" s="65"/>
      <c r="AR65" s="64">
        <f>AR64/AR63</f>
        <v>307.51463644948063</v>
      </c>
      <c r="AS65" s="64">
        <f>AS64/AS63</f>
        <v>306.58597662771285</v>
      </c>
      <c r="AT65" s="65"/>
      <c r="AU65" s="64">
        <f>AU64/AU63</f>
        <v>398.51677067082682</v>
      </c>
      <c r="AV65" s="64">
        <f>AV64/AV63</f>
        <v>162.17781676710658</v>
      </c>
      <c r="AW65" s="65"/>
      <c r="AX65" s="64">
        <f>AX64/AX63</f>
        <v>464.53706030150755</v>
      </c>
      <c r="AY65" s="64">
        <f>AY64/AY63</f>
        <v>282.95254833040423</v>
      </c>
      <c r="AZ65" s="65"/>
      <c r="BA65" s="64">
        <f>BA64/BA63</f>
        <v>409.83778543731148</v>
      </c>
      <c r="BB65" s="64">
        <f>BB64/BB63</f>
        <v>167.20200321684456</v>
      </c>
      <c r="BC65" s="65"/>
      <c r="BD65" s="64">
        <f>BD64/BD63</f>
        <v>298.61463414634147</v>
      </c>
      <c r="BE65" s="64">
        <f>BE64/BE63</f>
        <v>195.90384615384616</v>
      </c>
      <c r="BF65" s="65"/>
      <c r="BG65" s="64">
        <f>BG64/BG63</f>
        <v>398.779125036376</v>
      </c>
      <c r="BH65" s="64">
        <f>BH64/BH63</f>
        <v>168.94437577255871</v>
      </c>
      <c r="BI65" s="65"/>
      <c r="BJ65" s="64">
        <f>BJ64/BJ63</f>
        <v>222.44087038789024</v>
      </c>
      <c r="BK65" s="64">
        <f>BK64/BK63</f>
        <v>368.22292993630572</v>
      </c>
      <c r="BL65" s="65"/>
      <c r="BM65" s="64">
        <f>BM64/BM63</f>
        <v>382.38025690656343</v>
      </c>
      <c r="BN65" s="64">
        <f>BN64/BN63</f>
        <v>177.18314680710995</v>
      </c>
      <c r="BO65" s="65"/>
      <c r="BP65" s="64">
        <f>BP64/BP63</f>
        <v>242.01172707889125</v>
      </c>
      <c r="BQ65" s="64">
        <f>BQ64/BQ63</f>
        <v>122.22203245089666</v>
      </c>
      <c r="BR65" s="65"/>
      <c r="BS65" s="64">
        <f>BS64/BS63</f>
        <v>371.67921001300391</v>
      </c>
      <c r="BT65" s="64">
        <f>BT64/BT63</f>
        <v>173.24943463113502</v>
      </c>
      <c r="BU65" s="65"/>
      <c r="BV65" s="64">
        <f>BV64/BV63</f>
        <v>307.75206611570246</v>
      </c>
      <c r="BW65" s="64">
        <f>BW64/BW63</f>
        <v>130.58127208480565</v>
      </c>
      <c r="BX65" s="65"/>
      <c r="BY65" s="64">
        <f>BY64/BY63</f>
        <v>367.01665159734779</v>
      </c>
      <c r="BZ65" s="64">
        <f>BZ64/BZ63</f>
        <v>170.48830960955812</v>
      </c>
      <c r="CA65" s="65"/>
      <c r="CB65" s="108"/>
    </row>
    <row r="66" spans="1:80" s="1" customFormat="1" ht="19.5" customHeight="1">
      <c r="A66" s="164" t="s">
        <v>179</v>
      </c>
      <c r="B66" s="133" t="s">
        <v>9</v>
      </c>
      <c r="C66" s="32" t="s">
        <v>42</v>
      </c>
      <c r="D66" s="66">
        <v>3</v>
      </c>
      <c r="E66" s="66">
        <v>12</v>
      </c>
      <c r="F66" s="66">
        <v>33</v>
      </c>
      <c r="G66" s="66">
        <v>14</v>
      </c>
      <c r="H66" s="66">
        <f>22+13</f>
        <v>35</v>
      </c>
      <c r="I66" s="66">
        <f>38+93</f>
        <v>131</v>
      </c>
      <c r="J66" s="66">
        <f>80+35</f>
        <v>115</v>
      </c>
      <c r="K66" s="66">
        <f>1+2</f>
        <v>3</v>
      </c>
      <c r="L66" s="66">
        <v>0</v>
      </c>
      <c r="M66" s="15">
        <f t="shared" si="0"/>
        <v>-100</v>
      </c>
      <c r="N66" s="63">
        <f>Q66-K66</f>
        <v>1</v>
      </c>
      <c r="O66" s="63">
        <f>R66-L66</f>
        <v>0</v>
      </c>
      <c r="P66" s="15">
        <f t="shared" si="1"/>
        <v>-100</v>
      </c>
      <c r="Q66" s="66">
        <v>4</v>
      </c>
      <c r="R66" s="66">
        <v>0</v>
      </c>
      <c r="S66" s="15">
        <f t="shared" si="2"/>
        <v>-100</v>
      </c>
      <c r="T66" s="63">
        <f>W66-Q66</f>
        <v>1</v>
      </c>
      <c r="U66" s="63">
        <f>X66-R66</f>
        <v>1</v>
      </c>
      <c r="V66" s="15">
        <f t="shared" ref="V66:V67" si="423">(U66/T66-1)*100</f>
        <v>0</v>
      </c>
      <c r="W66" s="66">
        <f>1+4</f>
        <v>5</v>
      </c>
      <c r="X66" s="66">
        <v>1</v>
      </c>
      <c r="Y66" s="15">
        <f t="shared" ref="Y66:Y67" si="424">(X66/W66-1)*100</f>
        <v>-80</v>
      </c>
      <c r="Z66" s="63">
        <f>AC66-W66</f>
        <v>26</v>
      </c>
      <c r="AA66" s="63">
        <f>AD66-X66</f>
        <v>7</v>
      </c>
      <c r="AB66" s="15">
        <f t="shared" ref="AB66:AB67" si="425">(AA66/Z66-1)*100</f>
        <v>-73.07692307692308</v>
      </c>
      <c r="AC66" s="66">
        <f>1+30</f>
        <v>31</v>
      </c>
      <c r="AD66" s="66">
        <f>1+7</f>
        <v>8</v>
      </c>
      <c r="AE66" s="15">
        <f t="shared" ref="AE66:AE67" si="426">(AD66/AC66-1)*100</f>
        <v>-74.193548387096769</v>
      </c>
      <c r="AF66" s="63">
        <f>AI66-AC66</f>
        <v>1</v>
      </c>
      <c r="AG66" s="63">
        <f>AJ66-AD66</f>
        <v>0</v>
      </c>
      <c r="AH66" s="15">
        <f t="shared" ref="AH66:AH67" si="427">(AG66/AF66-1)*100</f>
        <v>-100</v>
      </c>
      <c r="AI66" s="66">
        <f>1+31</f>
        <v>32</v>
      </c>
      <c r="AJ66" s="66">
        <f>1+7</f>
        <v>8</v>
      </c>
      <c r="AK66" s="15">
        <f t="shared" ref="AK66:AK67" si="428">(AJ66/AI66-1)*100</f>
        <v>-75</v>
      </c>
      <c r="AL66" s="63">
        <f>AO66-AI66</f>
        <v>76</v>
      </c>
      <c r="AM66" s="63">
        <f>AP66-AJ66</f>
        <v>5</v>
      </c>
      <c r="AN66" s="15">
        <f t="shared" ref="AN66:AN67" si="429">(AM66/AL66-1)*100</f>
        <v>-93.421052631578945</v>
      </c>
      <c r="AO66" s="66">
        <f>77+31</f>
        <v>108</v>
      </c>
      <c r="AP66" s="66">
        <v>13</v>
      </c>
      <c r="AQ66" s="15">
        <f t="shared" ref="AQ66:AQ67" si="430">(AP66/AO66-1)*100</f>
        <v>-87.962962962962962</v>
      </c>
      <c r="AR66" s="63">
        <f>AU66-AO66</f>
        <v>0</v>
      </c>
      <c r="AS66" s="63">
        <f>AV66-AP66</f>
        <v>0</v>
      </c>
      <c r="AT66" s="15" t="e">
        <f t="shared" ref="AT66:AT67" si="431">(AS66/AR66-1)*100</f>
        <v>#DIV/0!</v>
      </c>
      <c r="AU66" s="66">
        <f>77+31</f>
        <v>108</v>
      </c>
      <c r="AV66" s="66">
        <v>13</v>
      </c>
      <c r="AW66" s="15">
        <f t="shared" ref="AW66:AW67" si="432">(AV66/AU66-1)*100</f>
        <v>-87.962962962962962</v>
      </c>
      <c r="AX66" s="63">
        <f>BA66-AU66</f>
        <v>2</v>
      </c>
      <c r="AY66" s="63">
        <f>BB66-AV66</f>
        <v>2</v>
      </c>
      <c r="AZ66" s="15">
        <f t="shared" ref="AZ66:AZ67" si="433">(AY66/AX66-1)*100</f>
        <v>0</v>
      </c>
      <c r="BA66" s="66">
        <f>79+31</f>
        <v>110</v>
      </c>
      <c r="BB66" s="66">
        <v>15</v>
      </c>
      <c r="BC66" s="15">
        <f t="shared" ref="BC66:BC67" si="434">(BB66/BA66-1)*100</f>
        <v>-86.36363636363636</v>
      </c>
      <c r="BD66" s="63">
        <f>BG66-BA66</f>
        <v>2</v>
      </c>
      <c r="BE66" s="63">
        <f>BH66-BB66</f>
        <v>1</v>
      </c>
      <c r="BF66" s="15">
        <f t="shared" ref="BF66:BF67" si="435">(BE66/BD66-1)*100</f>
        <v>-50</v>
      </c>
      <c r="BG66" s="66">
        <f>79+33</f>
        <v>112</v>
      </c>
      <c r="BH66" s="66">
        <v>16</v>
      </c>
      <c r="BI66" s="15">
        <f t="shared" ref="BI66:BI67" si="436">(BH66/BG66-1)*100</f>
        <v>-85.714285714285722</v>
      </c>
      <c r="BJ66" s="63">
        <f>BM66-BG66</f>
        <v>2</v>
      </c>
      <c r="BK66" s="63">
        <f>BN66-BH66</f>
        <v>70</v>
      </c>
      <c r="BL66" s="15">
        <f t="shared" ref="BL66:BL67" si="437">(BK66/BJ66-1)*100</f>
        <v>3400</v>
      </c>
      <c r="BM66" s="66">
        <f>79+35</f>
        <v>114</v>
      </c>
      <c r="BN66" s="66">
        <v>86</v>
      </c>
      <c r="BO66" s="15">
        <f t="shared" ref="BO66:BO67" si="438">(BN66/BM66-1)*100</f>
        <v>-24.561403508771928</v>
      </c>
      <c r="BP66" s="63">
        <f>BS66-BM66</f>
        <v>0</v>
      </c>
      <c r="BQ66" s="63">
        <f>BT66-BN66</f>
        <v>0</v>
      </c>
      <c r="BR66" s="15" t="e">
        <f t="shared" ref="BR66:BR67" si="439">(BQ66/BP66-1)*100</f>
        <v>#DIV/0!</v>
      </c>
      <c r="BS66" s="66">
        <f>79+35</f>
        <v>114</v>
      </c>
      <c r="BT66" s="66">
        <v>86</v>
      </c>
      <c r="BU66" s="15">
        <f t="shared" ref="BU66:BU67" si="440">(BT66/BS66-1)*100</f>
        <v>-24.561403508771928</v>
      </c>
      <c r="BV66" s="63">
        <f>BY66-BS66</f>
        <v>1</v>
      </c>
      <c r="BW66" s="63">
        <f>BZ66-BT66</f>
        <v>1</v>
      </c>
      <c r="BX66" s="15">
        <f t="shared" ref="BX66:BX67" si="441">(BW66/BV66-1)*100</f>
        <v>0</v>
      </c>
      <c r="BY66" s="66">
        <f>80+35</f>
        <v>115</v>
      </c>
      <c r="BZ66" s="66">
        <v>87</v>
      </c>
      <c r="CA66" s="15">
        <f t="shared" ref="CA66:CA67" si="442">(BZ66/BY66-1)*100</f>
        <v>-24.347826086956527</v>
      </c>
      <c r="CB66" s="108"/>
    </row>
    <row r="67" spans="1:80" s="1" customFormat="1" ht="19.5" customHeight="1">
      <c r="A67" s="154"/>
      <c r="B67" s="115"/>
      <c r="C67" s="33" t="s">
        <v>104</v>
      </c>
      <c r="D67" s="17">
        <v>7850</v>
      </c>
      <c r="E67" s="17">
        <v>94477</v>
      </c>
      <c r="F67" s="17">
        <v>192001</v>
      </c>
      <c r="G67" s="17">
        <v>142605</v>
      </c>
      <c r="H67" s="17">
        <f>150869+76453</f>
        <v>227322</v>
      </c>
      <c r="I67" s="17">
        <f>215641+40466</f>
        <v>256107</v>
      </c>
      <c r="J67" s="17">
        <f>39829+52934</f>
        <v>92763</v>
      </c>
      <c r="K67" s="17">
        <f>616+2892</f>
        <v>3508</v>
      </c>
      <c r="L67" s="17">
        <v>0</v>
      </c>
      <c r="M67" s="18">
        <f t="shared" si="0"/>
        <v>-100</v>
      </c>
      <c r="N67" s="17">
        <f>Q67-K67</f>
        <v>4664</v>
      </c>
      <c r="O67" s="17">
        <f>R67-L67</f>
        <v>0</v>
      </c>
      <c r="P67" s="18">
        <f t="shared" si="1"/>
        <v>-100</v>
      </c>
      <c r="Q67" s="17">
        <f>940+7232</f>
        <v>8172</v>
      </c>
      <c r="R67" s="17">
        <v>0</v>
      </c>
      <c r="S67" s="18">
        <f t="shared" si="2"/>
        <v>-100</v>
      </c>
      <c r="T67" s="17">
        <f>W67-Q67</f>
        <v>2474</v>
      </c>
      <c r="U67" s="17">
        <f>X67-R67</f>
        <v>3273</v>
      </c>
      <c r="V67" s="18">
        <f t="shared" si="423"/>
        <v>32.295877122069513</v>
      </c>
      <c r="W67" s="17">
        <f>1304+9342</f>
        <v>10646</v>
      </c>
      <c r="X67" s="17">
        <v>3273</v>
      </c>
      <c r="Y67" s="18">
        <f t="shared" si="424"/>
        <v>-69.256058613563781</v>
      </c>
      <c r="Z67" s="17">
        <f>AC67-W67</f>
        <v>16911</v>
      </c>
      <c r="AA67" s="17">
        <f>AD67-X67</f>
        <v>10990</v>
      </c>
      <c r="AB67" s="18">
        <f t="shared" si="425"/>
        <v>-35.012713618354915</v>
      </c>
      <c r="AC67" s="17">
        <f>1497+26060</f>
        <v>27557</v>
      </c>
      <c r="AD67" s="17">
        <f>3273+10990</f>
        <v>14263</v>
      </c>
      <c r="AE67" s="18">
        <f t="shared" si="426"/>
        <v>-48.241826033312776</v>
      </c>
      <c r="AF67" s="17">
        <f>AI67-AC67</f>
        <v>2089</v>
      </c>
      <c r="AG67" s="17">
        <f>AJ67-AD67</f>
        <v>161</v>
      </c>
      <c r="AH67" s="18">
        <f t="shared" si="427"/>
        <v>-92.292963140258493</v>
      </c>
      <c r="AI67" s="17">
        <f>1497+28149</f>
        <v>29646</v>
      </c>
      <c r="AJ67" s="17">
        <f>3273+11151</f>
        <v>14424</v>
      </c>
      <c r="AK67" s="18">
        <f t="shared" si="428"/>
        <v>-51.345881400526203</v>
      </c>
      <c r="AL67" s="17">
        <f>AO67-AI67</f>
        <v>21029</v>
      </c>
      <c r="AM67" s="17">
        <f>AP67-AJ67</f>
        <v>1714</v>
      </c>
      <c r="AN67" s="18">
        <f t="shared" si="429"/>
        <v>-91.849350896381182</v>
      </c>
      <c r="AO67" s="17">
        <f>18496+32179</f>
        <v>50675</v>
      </c>
      <c r="AP67" s="17">
        <f>4987+11151</f>
        <v>16138</v>
      </c>
      <c r="AQ67" s="18">
        <f t="shared" si="430"/>
        <v>-68.153922052294021</v>
      </c>
      <c r="AR67" s="17">
        <f>AU67-AO67</f>
        <v>0</v>
      </c>
      <c r="AS67" s="17">
        <f>AV67-AP67</f>
        <v>0</v>
      </c>
      <c r="AT67" s="18" t="e">
        <f t="shared" si="431"/>
        <v>#DIV/0!</v>
      </c>
      <c r="AU67" s="17">
        <f>18496+32179</f>
        <v>50675</v>
      </c>
      <c r="AV67" s="17">
        <f>11151+4987</f>
        <v>16138</v>
      </c>
      <c r="AW67" s="18">
        <f t="shared" si="432"/>
        <v>-68.153922052294021</v>
      </c>
      <c r="AX67" s="17">
        <f>BA67-AU67</f>
        <v>20150</v>
      </c>
      <c r="AY67" s="17">
        <f>BB67-AV67</f>
        <v>4686</v>
      </c>
      <c r="AZ67" s="18">
        <f t="shared" si="433"/>
        <v>-76.744416873449126</v>
      </c>
      <c r="BA67" s="17">
        <f>38639+32186</f>
        <v>70825</v>
      </c>
      <c r="BB67" s="17">
        <v>20824</v>
      </c>
      <c r="BC67" s="18">
        <f t="shared" si="434"/>
        <v>-70.597952700317677</v>
      </c>
      <c r="BD67" s="17">
        <f>BG67-BA67</f>
        <v>13221</v>
      </c>
      <c r="BE67" s="17">
        <f>BH67-BB67</f>
        <v>5283</v>
      </c>
      <c r="BF67" s="18">
        <f t="shared" si="435"/>
        <v>-60.040844111640567</v>
      </c>
      <c r="BG67" s="17">
        <f>38797+45249</f>
        <v>84046</v>
      </c>
      <c r="BH67" s="17">
        <f>12547+13560</f>
        <v>26107</v>
      </c>
      <c r="BI67" s="18">
        <f t="shared" si="436"/>
        <v>-68.937248649549048</v>
      </c>
      <c r="BJ67" s="17">
        <f>BM67-BG67</f>
        <v>7375</v>
      </c>
      <c r="BK67" s="17">
        <f>BN67-BH67</f>
        <v>105204</v>
      </c>
      <c r="BL67" s="18">
        <f t="shared" si="437"/>
        <v>1326.4949152542374</v>
      </c>
      <c r="BM67" s="17">
        <f>38797+52624</f>
        <v>91421</v>
      </c>
      <c r="BN67" s="17">
        <v>131311</v>
      </c>
      <c r="BO67" s="18">
        <f t="shared" si="438"/>
        <v>43.633300882729344</v>
      </c>
      <c r="BP67" s="17">
        <f>BS67-BM67</f>
        <v>310</v>
      </c>
      <c r="BQ67" s="17">
        <f>BT67-BN67</f>
        <v>0</v>
      </c>
      <c r="BR67" s="18">
        <f t="shared" si="439"/>
        <v>-100</v>
      </c>
      <c r="BS67" s="17">
        <f>38797+52934</f>
        <v>91731</v>
      </c>
      <c r="BT67" s="17">
        <f>108489+22822</f>
        <v>131311</v>
      </c>
      <c r="BU67" s="18">
        <f t="shared" si="440"/>
        <v>43.147899837568545</v>
      </c>
      <c r="BV67" s="17">
        <f>BY67-BS67</f>
        <v>1032</v>
      </c>
      <c r="BW67" s="17">
        <f>BZ67-BT67</f>
        <v>4506</v>
      </c>
      <c r="BX67" s="18">
        <f t="shared" si="441"/>
        <v>336.62790697674421</v>
      </c>
      <c r="BY67" s="17">
        <f>39829+52934</f>
        <v>92763</v>
      </c>
      <c r="BZ67" s="17">
        <f>109155+26662</f>
        <v>135817</v>
      </c>
      <c r="CA67" s="18">
        <f t="shared" si="442"/>
        <v>46.412901695719185</v>
      </c>
      <c r="CB67" s="108"/>
    </row>
    <row r="68" spans="1:80" s="1" customFormat="1" ht="19.5" customHeight="1">
      <c r="A68" s="155"/>
      <c r="B68" s="116"/>
      <c r="C68" s="93" t="s">
        <v>105</v>
      </c>
      <c r="D68" s="64">
        <f t="shared" ref="D68:L68" si="443">D67/D66</f>
        <v>2616.6666666666665</v>
      </c>
      <c r="E68" s="64">
        <f t="shared" si="443"/>
        <v>7873.083333333333</v>
      </c>
      <c r="F68" s="64">
        <f t="shared" si="443"/>
        <v>5818.212121212121</v>
      </c>
      <c r="G68" s="64">
        <f t="shared" si="443"/>
        <v>10186.071428571429</v>
      </c>
      <c r="H68" s="64">
        <f>H67/H66</f>
        <v>6494.9142857142861</v>
      </c>
      <c r="I68" s="64">
        <f>I67/I66</f>
        <v>1955.0152671755725</v>
      </c>
      <c r="J68" s="64">
        <f>J67/J66</f>
        <v>806.63478260869567</v>
      </c>
      <c r="K68" s="64">
        <f t="shared" si="443"/>
        <v>1169.3333333333333</v>
      </c>
      <c r="L68" s="64" t="e">
        <f t="shared" si="443"/>
        <v>#DIV/0!</v>
      </c>
      <c r="M68" s="65"/>
      <c r="N68" s="64">
        <f>N67/N66</f>
        <v>4664</v>
      </c>
      <c r="O68" s="64" t="e">
        <f>O67/O66</f>
        <v>#DIV/0!</v>
      </c>
      <c r="P68" s="65"/>
      <c r="Q68" s="64">
        <f>Q67/Q66</f>
        <v>2043</v>
      </c>
      <c r="R68" s="64" t="e">
        <f>R67/R66</f>
        <v>#DIV/0!</v>
      </c>
      <c r="S68" s="65"/>
      <c r="T68" s="64">
        <f>T67/T66</f>
        <v>2474</v>
      </c>
      <c r="U68" s="64">
        <f>U67/U66</f>
        <v>3273</v>
      </c>
      <c r="V68" s="65"/>
      <c r="W68" s="64">
        <f>W67/W66</f>
        <v>2129.1999999999998</v>
      </c>
      <c r="X68" s="64">
        <f>X67/X66</f>
        <v>3273</v>
      </c>
      <c r="Y68" s="65"/>
      <c r="Z68" s="64">
        <f>Z67/Z66</f>
        <v>650.42307692307691</v>
      </c>
      <c r="AA68" s="64">
        <f>AA67/AA66</f>
        <v>1570</v>
      </c>
      <c r="AB68" s="65"/>
      <c r="AC68" s="64">
        <f>AC67/AC66</f>
        <v>888.93548387096769</v>
      </c>
      <c r="AD68" s="64">
        <f>AD67/AD66</f>
        <v>1782.875</v>
      </c>
      <c r="AE68" s="65"/>
      <c r="AF68" s="64">
        <f>AF67/AF66</f>
        <v>2089</v>
      </c>
      <c r="AG68" s="64" t="e">
        <f>AG67/AG66</f>
        <v>#DIV/0!</v>
      </c>
      <c r="AH68" s="65"/>
      <c r="AI68" s="64">
        <f>AI67/AI66</f>
        <v>926.4375</v>
      </c>
      <c r="AJ68" s="64">
        <f>AJ67/AJ66</f>
        <v>1803</v>
      </c>
      <c r="AK68" s="65"/>
      <c r="AL68" s="64">
        <f>AL67/AL66</f>
        <v>276.69736842105266</v>
      </c>
      <c r="AM68" s="64">
        <f>AM67/AM66</f>
        <v>342.8</v>
      </c>
      <c r="AN68" s="65"/>
      <c r="AO68" s="64">
        <f>AO67/AO66</f>
        <v>469.21296296296299</v>
      </c>
      <c r="AP68" s="64">
        <f>AP67/AP66</f>
        <v>1241.3846153846155</v>
      </c>
      <c r="AQ68" s="65"/>
      <c r="AR68" s="64" t="e">
        <f>AR67/AR66</f>
        <v>#DIV/0!</v>
      </c>
      <c r="AS68" s="64" t="e">
        <f>AS67/AS66</f>
        <v>#DIV/0!</v>
      </c>
      <c r="AT68" s="65"/>
      <c r="AU68" s="64">
        <f>AU67/AU66</f>
        <v>469.21296296296299</v>
      </c>
      <c r="AV68" s="64">
        <f>AV67/AV66</f>
        <v>1241.3846153846155</v>
      </c>
      <c r="AW68" s="65"/>
      <c r="AX68" s="64">
        <f>AX67/AX66</f>
        <v>10075</v>
      </c>
      <c r="AY68" s="64">
        <f>AY67/AY66</f>
        <v>2343</v>
      </c>
      <c r="AZ68" s="65"/>
      <c r="BA68" s="64">
        <f>BA67/BA66</f>
        <v>643.86363636363637</v>
      </c>
      <c r="BB68" s="64">
        <f>BB67/BB66</f>
        <v>1388.2666666666667</v>
      </c>
      <c r="BC68" s="65"/>
      <c r="BD68" s="64">
        <f>BD67/BD66</f>
        <v>6610.5</v>
      </c>
      <c r="BE68" s="64">
        <f>BE67/BE66</f>
        <v>5283</v>
      </c>
      <c r="BF68" s="65"/>
      <c r="BG68" s="64">
        <f>BG67/BG66</f>
        <v>750.41071428571433</v>
      </c>
      <c r="BH68" s="64">
        <f>BH67/BH66</f>
        <v>1631.6875</v>
      </c>
      <c r="BI68" s="65"/>
      <c r="BJ68" s="64">
        <f>BJ67/BJ66</f>
        <v>3687.5</v>
      </c>
      <c r="BK68" s="64">
        <f>BK67/BK66</f>
        <v>1502.9142857142858</v>
      </c>
      <c r="BL68" s="65"/>
      <c r="BM68" s="64">
        <f>BM67/BM66</f>
        <v>801.93859649122805</v>
      </c>
      <c r="BN68" s="64">
        <f>BN67/BN66</f>
        <v>1526.8720930232557</v>
      </c>
      <c r="BO68" s="65"/>
      <c r="BP68" s="64" t="e">
        <f>BP67/BP66</f>
        <v>#DIV/0!</v>
      </c>
      <c r="BQ68" s="64" t="e">
        <f>BQ67/BQ66</f>
        <v>#DIV/0!</v>
      </c>
      <c r="BR68" s="65"/>
      <c r="BS68" s="64">
        <f>BS67/BS66</f>
        <v>804.65789473684208</v>
      </c>
      <c r="BT68" s="64">
        <f>BT67/BT66</f>
        <v>1526.8720930232557</v>
      </c>
      <c r="BU68" s="65"/>
      <c r="BV68" s="64">
        <f>BV67/BV66</f>
        <v>1032</v>
      </c>
      <c r="BW68" s="64">
        <f>BW67/BW66</f>
        <v>4506</v>
      </c>
      <c r="BX68" s="65"/>
      <c r="BY68" s="64">
        <f>BY67/BY66</f>
        <v>806.63478260869567</v>
      </c>
      <c r="BZ68" s="64">
        <f>BZ67/BZ66</f>
        <v>1561.1149425287356</v>
      </c>
      <c r="CA68" s="65"/>
      <c r="CB68" s="108"/>
    </row>
    <row r="69" spans="1:80" s="1" customFormat="1" ht="19.5" customHeight="1">
      <c r="A69" s="164" t="s">
        <v>10</v>
      </c>
      <c r="B69" s="133" t="s">
        <v>134</v>
      </c>
      <c r="C69" s="32" t="s">
        <v>42</v>
      </c>
      <c r="D69" s="66">
        <v>75065</v>
      </c>
      <c r="E69" s="66">
        <v>48362</v>
      </c>
      <c r="F69" s="66">
        <v>18428</v>
      </c>
      <c r="G69" s="66">
        <v>3978</v>
      </c>
      <c r="H69" s="66">
        <f>95357+10623</f>
        <v>105980</v>
      </c>
      <c r="I69" s="66">
        <f>34494+2713</f>
        <v>37207</v>
      </c>
      <c r="J69" s="66">
        <f>6316+2340</f>
        <v>8656</v>
      </c>
      <c r="K69" s="66">
        <f>310+129</f>
        <v>439</v>
      </c>
      <c r="L69" s="66">
        <f>129+469</f>
        <v>598</v>
      </c>
      <c r="M69" s="15">
        <f t="shared" si="0"/>
        <v>36.218678815489746</v>
      </c>
      <c r="N69" s="63">
        <f>Q69-K69</f>
        <v>435</v>
      </c>
      <c r="O69" s="63">
        <f>R69-L69</f>
        <v>16636</v>
      </c>
      <c r="P69" s="15">
        <f t="shared" si="1"/>
        <v>3724.3678160919544</v>
      </c>
      <c r="Q69" s="66">
        <f>425+449</f>
        <v>874</v>
      </c>
      <c r="R69" s="66">
        <f>129+17105</f>
        <v>17234</v>
      </c>
      <c r="S69" s="15">
        <f t="shared" si="2"/>
        <v>1871.8535469107551</v>
      </c>
      <c r="T69" s="63">
        <f>W69-Q69</f>
        <v>440</v>
      </c>
      <c r="U69" s="63">
        <f>X69-R69</f>
        <v>1740</v>
      </c>
      <c r="V69" s="15">
        <f t="shared" ref="V69:V70" si="444">(U69/T69-1)*100</f>
        <v>295.45454545454544</v>
      </c>
      <c r="W69" s="66">
        <f>486+828</f>
        <v>1314</v>
      </c>
      <c r="X69" s="66">
        <f>287+18687</f>
        <v>18974</v>
      </c>
      <c r="Y69" s="15">
        <f t="shared" ref="Y69:Y70" si="445">(X69/W69-1)*100</f>
        <v>1343.9878234398782</v>
      </c>
      <c r="Z69" s="63">
        <f>AC69-W69</f>
        <v>254</v>
      </c>
      <c r="AA69" s="63">
        <f>AD69-X69</f>
        <v>4058</v>
      </c>
      <c r="AB69" s="15">
        <f t="shared" ref="AB69:AB70" si="446">(AA69/Z69-1)*100</f>
        <v>1497.6377952755906</v>
      </c>
      <c r="AC69" s="66">
        <f>621+947</f>
        <v>1568</v>
      </c>
      <c r="AD69" s="66">
        <f>390+22642</f>
        <v>23032</v>
      </c>
      <c r="AE69" s="15">
        <f t="shared" ref="AE69:AE70" si="447">(AD69/AC69-1)*100</f>
        <v>1368.8775510204082</v>
      </c>
      <c r="AF69" s="63">
        <f>AI69-AC69</f>
        <v>394</v>
      </c>
      <c r="AG69" s="63">
        <f>AJ69-AD69</f>
        <v>2363</v>
      </c>
      <c r="AH69" s="15">
        <f t="shared" ref="AH69:AH70" si="448">(AG69/AF69-1)*100</f>
        <v>499.74619289340103</v>
      </c>
      <c r="AI69" s="66">
        <f>944+1018</f>
        <v>1962</v>
      </c>
      <c r="AJ69" s="66">
        <v>25395</v>
      </c>
      <c r="AK69" s="15">
        <f t="shared" ref="AK69:AK70" si="449">(AJ69/AI69-1)*100</f>
        <v>1194.34250764526</v>
      </c>
      <c r="AL69" s="63">
        <f>AO69-AI69</f>
        <v>48</v>
      </c>
      <c r="AM69" s="63">
        <f>AP69-AJ69</f>
        <v>487</v>
      </c>
      <c r="AN69" s="15">
        <f t="shared" ref="AN69:AN70" si="450">(AM69/AL69-1)*100</f>
        <v>914.58333333333337</v>
      </c>
      <c r="AO69" s="66">
        <f>946+1064</f>
        <v>2010</v>
      </c>
      <c r="AP69" s="66">
        <v>25882</v>
      </c>
      <c r="AQ69" s="15">
        <f t="shared" ref="AQ69:AQ70" si="451">(AP69/AO69-1)*100</f>
        <v>1187.6616915422887</v>
      </c>
      <c r="AR69" s="63">
        <f>AU69-AO69</f>
        <v>31</v>
      </c>
      <c r="AS69" s="63">
        <f>AV69-AP69</f>
        <v>17</v>
      </c>
      <c r="AT69" s="15">
        <f t="shared" ref="AT69:AT70" si="452">(AS69/AR69-1)*100</f>
        <v>-45.161290322580648</v>
      </c>
      <c r="AU69" s="66">
        <f>958+1083</f>
        <v>2041</v>
      </c>
      <c r="AV69" s="66">
        <f>25900-1</f>
        <v>25899</v>
      </c>
      <c r="AW69" s="15">
        <f t="shared" ref="AW69:AW70" si="453">(AV69/AU69-1)*100</f>
        <v>1168.9367956883882</v>
      </c>
      <c r="AX69" s="63">
        <f>BA69-AU69</f>
        <v>13</v>
      </c>
      <c r="AY69" s="63">
        <f>BB69-AV69</f>
        <v>13621</v>
      </c>
      <c r="AZ69" s="15">
        <f t="shared" ref="AZ69:AZ70" si="454">(AY69/AX69-1)*100</f>
        <v>104676.92307692308</v>
      </c>
      <c r="BA69" s="66">
        <f>960+1094</f>
        <v>2054</v>
      </c>
      <c r="BB69" s="66">
        <v>39520</v>
      </c>
      <c r="BC69" s="15">
        <f t="shared" ref="BC69:BC70" si="455">(BB69/BA69-1)*100</f>
        <v>1824.0506329113923</v>
      </c>
      <c r="BD69" s="63">
        <f>BG69-BA69</f>
        <v>136</v>
      </c>
      <c r="BE69" s="63">
        <f>BH69-BB69</f>
        <v>384</v>
      </c>
      <c r="BF69" s="15">
        <f t="shared" ref="BF69:BF70" si="456">(BE69/BD69-1)*100</f>
        <v>182.35294117647061</v>
      </c>
      <c r="BG69" s="66">
        <f>1065+1125</f>
        <v>2190</v>
      </c>
      <c r="BH69" s="66">
        <v>39904</v>
      </c>
      <c r="BI69" s="15">
        <f t="shared" ref="BI69:BI70" si="457">(BH69/BG69-1)*100</f>
        <v>1722.1004566210045</v>
      </c>
      <c r="BJ69" s="63">
        <f>BM69-BG69</f>
        <v>265</v>
      </c>
      <c r="BK69" s="63">
        <f>BN69-BH69</f>
        <v>86</v>
      </c>
      <c r="BL69" s="15">
        <f t="shared" ref="BL69:BL70" si="458">(BK69/BJ69-1)*100</f>
        <v>-67.547169811320757</v>
      </c>
      <c r="BM69" s="66">
        <f>1319+1136</f>
        <v>2455</v>
      </c>
      <c r="BN69" s="66">
        <v>39990</v>
      </c>
      <c r="BO69" s="15">
        <f t="shared" ref="BO69:BO70" si="459">(BN69/BM69-1)*100</f>
        <v>1528.9205702647657</v>
      </c>
      <c r="BP69" s="63">
        <f>BS69-BM69</f>
        <v>5951</v>
      </c>
      <c r="BQ69" s="63">
        <f>BT69-BN69</f>
        <v>622</v>
      </c>
      <c r="BR69" s="15">
        <f t="shared" ref="BR69:BR70" si="460">(BQ69/BP69-1)*100</f>
        <v>-89.547975130230213</v>
      </c>
      <c r="BS69" s="66">
        <f>6099+2307</f>
        <v>8406</v>
      </c>
      <c r="BT69" s="66">
        <v>40612</v>
      </c>
      <c r="BU69" s="15">
        <f t="shared" ref="BU69:BU70" si="461">(BT69/BS69-1)*100</f>
        <v>383.13109683559361</v>
      </c>
      <c r="BV69" s="63">
        <f>BY69-BS69</f>
        <v>250</v>
      </c>
      <c r="BW69" s="63">
        <f>BZ69-BT69</f>
        <v>132</v>
      </c>
      <c r="BX69" s="15">
        <f t="shared" ref="BX69:BX70" si="462">(BW69/BV69-1)*100</f>
        <v>-47.199999999999996</v>
      </c>
      <c r="BY69" s="66">
        <f>6316+2340</f>
        <v>8656</v>
      </c>
      <c r="BZ69" s="66">
        <v>40744</v>
      </c>
      <c r="CA69" s="15">
        <f t="shared" ref="CA69:CA70" si="463">(BZ69/BY69-1)*100</f>
        <v>370.70240295748613</v>
      </c>
      <c r="CB69" s="108"/>
    </row>
    <row r="70" spans="1:80" s="1" customFormat="1" ht="19.5" customHeight="1">
      <c r="A70" s="199"/>
      <c r="B70" s="181"/>
      <c r="C70" s="33" t="s">
        <v>104</v>
      </c>
      <c r="D70" s="17">
        <v>23820017</v>
      </c>
      <c r="E70" s="17">
        <v>23872996</v>
      </c>
      <c r="F70" s="17">
        <v>9747862</v>
      </c>
      <c r="G70" s="17">
        <v>1594995</v>
      </c>
      <c r="H70" s="17">
        <f>505939+1907139</f>
        <v>2413078</v>
      </c>
      <c r="I70" s="17">
        <f>1641741+1637341</f>
        <v>3279082</v>
      </c>
      <c r="J70" s="17">
        <f>1451290+1749640</f>
        <v>3200930</v>
      </c>
      <c r="K70" s="17">
        <f>181323+19179</f>
        <v>200502</v>
      </c>
      <c r="L70" s="17">
        <f>33466+368490</f>
        <v>401956</v>
      </c>
      <c r="M70" s="18">
        <f t="shared" si="0"/>
        <v>100.47480823133932</v>
      </c>
      <c r="N70" s="17">
        <f>Q70-K70</f>
        <v>109681</v>
      </c>
      <c r="O70" s="17">
        <f>R70-L70</f>
        <v>1260863</v>
      </c>
      <c r="P70" s="18">
        <f t="shared" si="1"/>
        <v>1049.5728521804142</v>
      </c>
      <c r="Q70" s="17">
        <f>240356+69827</f>
        <v>310183</v>
      </c>
      <c r="R70" s="17">
        <f>33466+1629353</f>
        <v>1662819</v>
      </c>
      <c r="S70" s="18">
        <f t="shared" si="2"/>
        <v>436.07676758558654</v>
      </c>
      <c r="T70" s="17">
        <f>W70-Q70</f>
        <v>518632</v>
      </c>
      <c r="U70" s="17">
        <f>X70-R70</f>
        <v>1108893</v>
      </c>
      <c r="V70" s="18">
        <f t="shared" si="444"/>
        <v>113.81114161872001</v>
      </c>
      <c r="W70" s="17">
        <f>270152+558663</f>
        <v>828815</v>
      </c>
      <c r="X70" s="17">
        <f>67717+2703995</f>
        <v>2771712</v>
      </c>
      <c r="Y70" s="18">
        <f t="shared" si="445"/>
        <v>234.41865796347798</v>
      </c>
      <c r="Z70" s="17">
        <f>AC70-W70</f>
        <v>168240</v>
      </c>
      <c r="AA70" s="17">
        <f>AD70-X70</f>
        <v>1475155</v>
      </c>
      <c r="AB70" s="18">
        <f t="shared" si="446"/>
        <v>776.81585829766993</v>
      </c>
      <c r="AC70" s="17">
        <f>349924+647131</f>
        <v>997055</v>
      </c>
      <c r="AD70" s="17">
        <f>92959+4153908</f>
        <v>4246867</v>
      </c>
      <c r="AE70" s="18">
        <f t="shared" si="447"/>
        <v>325.9410965292787</v>
      </c>
      <c r="AF70" s="17">
        <f>AI70-AC70</f>
        <v>170649</v>
      </c>
      <c r="AG70" s="17">
        <f>AJ70-AD70</f>
        <v>1354354</v>
      </c>
      <c r="AH70" s="18">
        <f t="shared" si="448"/>
        <v>693.64895194229086</v>
      </c>
      <c r="AI70" s="17">
        <f>476551+691153</f>
        <v>1167704</v>
      </c>
      <c r="AJ70" s="17">
        <f>186832+5414389</f>
        <v>5601221</v>
      </c>
      <c r="AK70" s="18">
        <f t="shared" si="449"/>
        <v>379.67815473784452</v>
      </c>
      <c r="AL70" s="17">
        <f>AO70-AI70</f>
        <v>81774</v>
      </c>
      <c r="AM70" s="17">
        <f>AP70-AJ70</f>
        <v>354504</v>
      </c>
      <c r="AN70" s="18">
        <f t="shared" si="450"/>
        <v>333.51676572015555</v>
      </c>
      <c r="AO70" s="17">
        <f>478207+771271</f>
        <v>1249478</v>
      </c>
      <c r="AP70" s="17">
        <f>188906+5766819</f>
        <v>5955725</v>
      </c>
      <c r="AQ70" s="18">
        <f t="shared" si="451"/>
        <v>376.65705198490889</v>
      </c>
      <c r="AR70" s="17">
        <f>AU70-AO70</f>
        <v>23671</v>
      </c>
      <c r="AS70" s="17">
        <f>AV70-AP70</f>
        <v>39569</v>
      </c>
      <c r="AT70" s="18">
        <f t="shared" si="452"/>
        <v>67.162350555532086</v>
      </c>
      <c r="AU70" s="17">
        <f>491771+781378</f>
        <v>1273149</v>
      </c>
      <c r="AV70" s="17">
        <f>188966+5806328</f>
        <v>5995294</v>
      </c>
      <c r="AW70" s="18">
        <f t="shared" si="453"/>
        <v>370.90277728686897</v>
      </c>
      <c r="AX70" s="17">
        <f>BA70-AU70</f>
        <v>21525</v>
      </c>
      <c r="AY70" s="17">
        <f>BB70-AV70</f>
        <v>197068</v>
      </c>
      <c r="AZ70" s="18">
        <f t="shared" si="454"/>
        <v>815.53077816492453</v>
      </c>
      <c r="BA70" s="17">
        <f>493314+801360</f>
        <v>1294674</v>
      </c>
      <c r="BB70" s="17">
        <f>308765+5883597</f>
        <v>6192362</v>
      </c>
      <c r="BC70" s="18">
        <f t="shared" si="455"/>
        <v>378.29507659843324</v>
      </c>
      <c r="BD70" s="17">
        <f>BG70-BA70</f>
        <v>54417</v>
      </c>
      <c r="BE70" s="17">
        <f>BH70-BB70</f>
        <v>53775</v>
      </c>
      <c r="BF70" s="18">
        <f t="shared" si="456"/>
        <v>-1.1797783780803761</v>
      </c>
      <c r="BG70" s="17">
        <f>531567+817524</f>
        <v>1349091</v>
      </c>
      <c r="BH70" s="17">
        <f>344326+5901811</f>
        <v>6246137</v>
      </c>
      <c r="BI70" s="18">
        <f t="shared" si="457"/>
        <v>362.98856044551479</v>
      </c>
      <c r="BJ70" s="17">
        <f>BM70-BG70</f>
        <v>96044</v>
      </c>
      <c r="BK70" s="17">
        <f>BN70-BH70</f>
        <v>45080</v>
      </c>
      <c r="BL70" s="18">
        <f t="shared" si="458"/>
        <v>-53.063179376119287</v>
      </c>
      <c r="BM70" s="17">
        <f>607880+837255</f>
        <v>1445135</v>
      </c>
      <c r="BN70" s="17">
        <v>6291217</v>
      </c>
      <c r="BO70" s="18">
        <f t="shared" si="459"/>
        <v>335.33766741515495</v>
      </c>
      <c r="BP70" s="17">
        <f>BS70-BM70</f>
        <v>1636678</v>
      </c>
      <c r="BQ70" s="17">
        <f>BT70-BN70</f>
        <v>80221</v>
      </c>
      <c r="BR70" s="18">
        <f t="shared" si="460"/>
        <v>-95.098547179103036</v>
      </c>
      <c r="BS70" s="17">
        <f>1401432+1680381</f>
        <v>3081813</v>
      </c>
      <c r="BT70" s="17">
        <f>346804+6024634</f>
        <v>6371438</v>
      </c>
      <c r="BU70" s="18">
        <f t="shared" si="461"/>
        <v>106.74317357996736</v>
      </c>
      <c r="BV70" s="17">
        <f>BY70-BS70</f>
        <v>119117</v>
      </c>
      <c r="BW70" s="17">
        <f>BZ70-BT70</f>
        <v>102338</v>
      </c>
      <c r="BX70" s="18">
        <f t="shared" si="462"/>
        <v>-14.08615059143531</v>
      </c>
      <c r="BY70" s="17">
        <f>1451290+1749640</f>
        <v>3200930</v>
      </c>
      <c r="BZ70" s="17">
        <f>348281+6125495</f>
        <v>6473776</v>
      </c>
      <c r="CA70" s="18">
        <f t="shared" si="463"/>
        <v>102.24672204640525</v>
      </c>
      <c r="CB70" s="108"/>
    </row>
    <row r="71" spans="1:80" s="1" customFormat="1" ht="19.5" customHeight="1">
      <c r="A71" s="200"/>
      <c r="B71" s="182"/>
      <c r="C71" s="93" t="s">
        <v>105</v>
      </c>
      <c r="D71" s="64">
        <f t="shared" ref="D71:L71" si="464">D70/D69</f>
        <v>317.32521148338105</v>
      </c>
      <c r="E71" s="64">
        <f t="shared" si="464"/>
        <v>493.63128075761961</v>
      </c>
      <c r="F71" s="64">
        <f t="shared" si="464"/>
        <v>528.97015411330585</v>
      </c>
      <c r="G71" s="64">
        <f t="shared" si="464"/>
        <v>400.95399698340873</v>
      </c>
      <c r="H71" s="64">
        <f>H70/H69</f>
        <v>22.769182864691452</v>
      </c>
      <c r="I71" s="64">
        <f>I70/I69</f>
        <v>88.130781842126481</v>
      </c>
      <c r="J71" s="64">
        <f>J70/J69</f>
        <v>369.79320702402958</v>
      </c>
      <c r="K71" s="64">
        <f t="shared" si="464"/>
        <v>456.7243735763098</v>
      </c>
      <c r="L71" s="64">
        <f t="shared" si="464"/>
        <v>672.1672240802676</v>
      </c>
      <c r="M71" s="65"/>
      <c r="N71" s="64">
        <f>N70/N69</f>
        <v>252.14022988505747</v>
      </c>
      <c r="O71" s="64">
        <f>O70/O69</f>
        <v>75.79123587400818</v>
      </c>
      <c r="P71" s="65"/>
      <c r="Q71" s="64">
        <f>Q70/Q69</f>
        <v>354.9004576659039</v>
      </c>
      <c r="R71" s="64">
        <f>R70/R69</f>
        <v>96.48479749332715</v>
      </c>
      <c r="S71" s="65"/>
      <c r="T71" s="64">
        <f>T70/T69</f>
        <v>1178.7090909090909</v>
      </c>
      <c r="U71" s="64">
        <f>U70/U69</f>
        <v>637.29482758620691</v>
      </c>
      <c r="V71" s="65"/>
      <c r="W71" s="64">
        <f>W70/W69</f>
        <v>630.75722983257231</v>
      </c>
      <c r="X71" s="64">
        <f>X70/X69</f>
        <v>146.07947717929798</v>
      </c>
      <c r="Y71" s="65"/>
      <c r="Z71" s="64">
        <f>Z70/Z69</f>
        <v>662.36220472440948</v>
      </c>
      <c r="AA71" s="64">
        <f>AA70/AA69</f>
        <v>363.51774273040905</v>
      </c>
      <c r="AB71" s="65"/>
      <c r="AC71" s="64">
        <f>AC70/AC69</f>
        <v>635.87691326530614</v>
      </c>
      <c r="AD71" s="64">
        <f>AD70/AD69</f>
        <v>184.38984890587008</v>
      </c>
      <c r="AE71" s="65"/>
      <c r="AF71" s="64">
        <f>AF70/AF69</f>
        <v>433.11928934010155</v>
      </c>
      <c r="AG71" s="64">
        <f>AG70/AG69</f>
        <v>573.15023275497254</v>
      </c>
      <c r="AH71" s="65"/>
      <c r="AI71" s="64">
        <f>AI70/AI69</f>
        <v>595.16004077471962</v>
      </c>
      <c r="AJ71" s="64">
        <f>AJ70/AJ69</f>
        <v>220.5639299074621</v>
      </c>
      <c r="AK71" s="65"/>
      <c r="AL71" s="64">
        <f>AL70/AL69</f>
        <v>1703.625</v>
      </c>
      <c r="AM71" s="64">
        <f>AM70/AM69</f>
        <v>727.93429158110882</v>
      </c>
      <c r="AN71" s="65"/>
      <c r="AO71" s="64">
        <f>AO70/AO69</f>
        <v>621.63084577114432</v>
      </c>
      <c r="AP71" s="64">
        <f>AP70/AP69</f>
        <v>230.11069469129126</v>
      </c>
      <c r="AQ71" s="65"/>
      <c r="AR71" s="64">
        <f>AR70/AR69</f>
        <v>763.58064516129036</v>
      </c>
      <c r="AS71" s="64">
        <f>AS70/AS69</f>
        <v>2327.5882352941176</v>
      </c>
      <c r="AT71" s="65"/>
      <c r="AU71" s="64">
        <f>AU70/AU69</f>
        <v>623.78686918177368</v>
      </c>
      <c r="AV71" s="64">
        <f>AV70/AV69</f>
        <v>231.48747055870882</v>
      </c>
      <c r="AW71" s="65"/>
      <c r="AX71" s="64">
        <f>AX70/AX69</f>
        <v>1655.7692307692307</v>
      </c>
      <c r="AY71" s="64">
        <f>AY70/AY69</f>
        <v>14.467953894721386</v>
      </c>
      <c r="AZ71" s="65"/>
      <c r="BA71" s="64">
        <f>BA70/BA69</f>
        <v>630.31840311587143</v>
      </c>
      <c r="BB71" s="64">
        <f>BB70/BB69</f>
        <v>156.68932186234818</v>
      </c>
      <c r="BC71" s="65"/>
      <c r="BD71" s="64">
        <f>BD70/BD69</f>
        <v>400.125</v>
      </c>
      <c r="BE71" s="64">
        <f>BE70/BE69</f>
        <v>140.0390625</v>
      </c>
      <c r="BF71" s="65"/>
      <c r="BG71" s="64">
        <f>BG70/BG69</f>
        <v>616.02328767123288</v>
      </c>
      <c r="BH71" s="64">
        <f>BH70/BH69</f>
        <v>156.52909482758622</v>
      </c>
      <c r="BI71" s="65"/>
      <c r="BJ71" s="64">
        <f>BJ70/BJ69</f>
        <v>362.4301886792453</v>
      </c>
      <c r="BK71" s="64">
        <f>BK70/BK69</f>
        <v>524.18604651162786</v>
      </c>
      <c r="BL71" s="65"/>
      <c r="BM71" s="64">
        <f>BM70/BM69</f>
        <v>588.6496945010183</v>
      </c>
      <c r="BN71" s="64">
        <f>BN70/BN69</f>
        <v>157.31975493873469</v>
      </c>
      <c r="BO71" s="65"/>
      <c r="BP71" s="64">
        <f>BP70/BP69</f>
        <v>275.02570996471184</v>
      </c>
      <c r="BQ71" s="64">
        <f>BQ70/BQ69</f>
        <v>128.97266881028938</v>
      </c>
      <c r="BR71" s="65"/>
      <c r="BS71" s="64">
        <f>BS70/BS69</f>
        <v>366.62062812276946</v>
      </c>
      <c r="BT71" s="64">
        <f>BT70/BT69</f>
        <v>156.88560031517778</v>
      </c>
      <c r="BU71" s="65"/>
      <c r="BV71" s="64">
        <f>BV70/BV69</f>
        <v>476.46800000000002</v>
      </c>
      <c r="BW71" s="64">
        <f>BW70/BW69</f>
        <v>775.28787878787875</v>
      </c>
      <c r="BX71" s="65"/>
      <c r="BY71" s="64">
        <f>BY70/BY69</f>
        <v>369.79320702402958</v>
      </c>
      <c r="BZ71" s="64">
        <f>BZ70/BZ69</f>
        <v>158.88906342038092</v>
      </c>
      <c r="CA71" s="65"/>
      <c r="CB71" s="108"/>
    </row>
    <row r="72" spans="1:80" s="1" customFormat="1" ht="19.5" customHeight="1">
      <c r="A72" s="151" t="s">
        <v>180</v>
      </c>
      <c r="B72" s="133">
        <v>8113</v>
      </c>
      <c r="C72" s="32" t="s">
        <v>42</v>
      </c>
      <c r="D72" s="66">
        <v>350087</v>
      </c>
      <c r="E72" s="66">
        <v>774778</v>
      </c>
      <c r="F72" s="66">
        <v>1192315</v>
      </c>
      <c r="G72" s="66">
        <v>1046200</v>
      </c>
      <c r="H72" s="66">
        <v>1264126</v>
      </c>
      <c r="I72" s="66">
        <v>1547060</v>
      </c>
      <c r="J72" s="66">
        <v>1804320</v>
      </c>
      <c r="K72" s="66">
        <v>128546</v>
      </c>
      <c r="L72" s="66">
        <v>133388</v>
      </c>
      <c r="M72" s="15">
        <f t="shared" si="0"/>
        <v>3.7667449784512863</v>
      </c>
      <c r="N72" s="63">
        <f>Q72-K72</f>
        <v>130290</v>
      </c>
      <c r="O72" s="63">
        <f>R72-L72</f>
        <v>151152</v>
      </c>
      <c r="P72" s="15">
        <f t="shared" si="1"/>
        <v>16.011973290352287</v>
      </c>
      <c r="Q72" s="66">
        <v>258836</v>
      </c>
      <c r="R72" s="66">
        <v>284540</v>
      </c>
      <c r="S72" s="15">
        <f t="shared" si="2"/>
        <v>9.9306124341281823</v>
      </c>
      <c r="T72" s="63">
        <f>W72-Q72</f>
        <v>135141</v>
      </c>
      <c r="U72" s="63">
        <f>X72-R72</f>
        <v>143763</v>
      </c>
      <c r="V72" s="15">
        <f t="shared" ref="V72:V73" si="465">(U72/T72-1)*100</f>
        <v>6.3800031078651287</v>
      </c>
      <c r="W72" s="66">
        <v>393977</v>
      </c>
      <c r="X72" s="66">
        <v>428303</v>
      </c>
      <c r="Y72" s="15">
        <f t="shared" ref="Y72:Y73" si="466">(X72/W72-1)*100</f>
        <v>8.7126913500026539</v>
      </c>
      <c r="Z72" s="63">
        <f>AC72-W72</f>
        <v>178416</v>
      </c>
      <c r="AA72" s="63">
        <f>AD72-X72</f>
        <v>124323</v>
      </c>
      <c r="AB72" s="15">
        <f t="shared" ref="AB72:AB73" si="467">(AA72/Z72-1)*100</f>
        <v>-30.318469195587838</v>
      </c>
      <c r="AC72" s="66">
        <v>572393</v>
      </c>
      <c r="AD72" s="66">
        <v>552626</v>
      </c>
      <c r="AE72" s="15">
        <f t="shared" ref="AE72:AE73" si="468">(AD72/AC72-1)*100</f>
        <v>-3.4533965300064806</v>
      </c>
      <c r="AF72" s="63">
        <f>AI72-AC72</f>
        <v>135503</v>
      </c>
      <c r="AG72" s="63">
        <f>AJ72-AD72</f>
        <v>136085</v>
      </c>
      <c r="AH72" s="15">
        <f t="shared" ref="AH72:AH73" si="469">(AG72/AF72-1)*100</f>
        <v>0.42951078573905122</v>
      </c>
      <c r="AI72" s="66">
        <v>707896</v>
      </c>
      <c r="AJ72" s="66">
        <v>688711</v>
      </c>
      <c r="AK72" s="15">
        <f t="shared" ref="AK72:AK73" si="470">(AJ72/AI72-1)*100</f>
        <v>-2.7101438629403174</v>
      </c>
      <c r="AL72" s="63">
        <f>AO72-AI72</f>
        <v>160263</v>
      </c>
      <c r="AM72" s="63">
        <f>AP72-AJ72</f>
        <v>178845</v>
      </c>
      <c r="AN72" s="15">
        <f t="shared" ref="AN72:AN73" si="471">(AM72/AL72-1)*100</f>
        <v>11.594691226296771</v>
      </c>
      <c r="AO72" s="66">
        <v>868159</v>
      </c>
      <c r="AP72" s="66">
        <v>867556</v>
      </c>
      <c r="AQ72" s="15">
        <f t="shared" ref="AQ72:AQ73" si="472">(AP72/AO72-1)*100</f>
        <v>-6.9457322909738384E-2</v>
      </c>
      <c r="AR72" s="63">
        <f>AU72-AO72</f>
        <v>117220</v>
      </c>
      <c r="AS72" s="63">
        <f>AV72-AP72</f>
        <v>124229</v>
      </c>
      <c r="AT72" s="15">
        <f t="shared" ref="AT72:AT73" si="473">(AS72/AR72-1)*100</f>
        <v>5.9793550588636668</v>
      </c>
      <c r="AU72" s="66">
        <v>985379</v>
      </c>
      <c r="AV72" s="66">
        <v>991785</v>
      </c>
      <c r="AW72" s="15">
        <f t="shared" ref="AW72:AW73" si="474">(AV72/AU72-1)*100</f>
        <v>0.65010518795305394</v>
      </c>
      <c r="AX72" s="63">
        <f>BA72-AU72</f>
        <v>132030</v>
      </c>
      <c r="AY72" s="63">
        <f>BB72-AV72</f>
        <v>169757</v>
      </c>
      <c r="AZ72" s="15">
        <f t="shared" ref="AZ72:AZ73" si="475">(AY72/AX72-1)*100</f>
        <v>28.574566386427325</v>
      </c>
      <c r="BA72" s="66">
        <v>1117409</v>
      </c>
      <c r="BB72" s="66">
        <v>1161542</v>
      </c>
      <c r="BC72" s="15">
        <f t="shared" ref="BC72:BC73" si="476">(BB72/BA72-1)*100</f>
        <v>3.9495833665202262</v>
      </c>
      <c r="BD72" s="63">
        <f>BG72-BA72</f>
        <v>124370</v>
      </c>
      <c r="BE72" s="63">
        <f>BH72-BB72</f>
        <v>114236</v>
      </c>
      <c r="BF72" s="15">
        <f t="shared" ref="BF72:BF73" si="477">(BE72/BD72-1)*100</f>
        <v>-8.1482672670258101</v>
      </c>
      <c r="BG72" s="66">
        <v>1241779</v>
      </c>
      <c r="BH72" s="66">
        <v>1275778</v>
      </c>
      <c r="BI72" s="15">
        <f t="shared" ref="BI72:BI73" si="478">(BH72/BG72-1)*100</f>
        <v>2.7379267969582344</v>
      </c>
      <c r="BJ72" s="63">
        <f>BM72-BG72</f>
        <v>214676</v>
      </c>
      <c r="BK72" s="63">
        <f>BN72-BH72</f>
        <v>166159</v>
      </c>
      <c r="BL72" s="15">
        <f t="shared" ref="BL72:BL73" si="479">(BK72/BJ72-1)*100</f>
        <v>-22.600104343289416</v>
      </c>
      <c r="BM72" s="66">
        <v>1456455</v>
      </c>
      <c r="BN72" s="66">
        <v>1441937</v>
      </c>
      <c r="BO72" s="15">
        <f t="shared" ref="BO72:BO73" si="480">(BN72/BM72-1)*100</f>
        <v>-0.99680388340182002</v>
      </c>
      <c r="BP72" s="63">
        <f>BS72-BM72</f>
        <v>158754</v>
      </c>
      <c r="BQ72" s="63">
        <f>BT72-BN72</f>
        <v>140120</v>
      </c>
      <c r="BR72" s="15">
        <f t="shared" ref="BR72:BR73" si="481">(BQ72/BP72-1)*100</f>
        <v>-11.737657003918011</v>
      </c>
      <c r="BS72" s="66">
        <v>1615209</v>
      </c>
      <c r="BT72" s="66">
        <v>1582057</v>
      </c>
      <c r="BU72" s="15">
        <f t="shared" ref="BU72:BU73" si="482">(BT72/BS72-1)*100</f>
        <v>-2.0524898016293869</v>
      </c>
      <c r="BV72" s="63">
        <f>BY72-BS72</f>
        <v>189111</v>
      </c>
      <c r="BW72" s="63">
        <f>BZ72-BT72</f>
        <v>228547</v>
      </c>
      <c r="BX72" s="15">
        <f t="shared" ref="BX72:BX73" si="483">(BW72/BV72-1)*100</f>
        <v>20.853361253443747</v>
      </c>
      <c r="BY72" s="66">
        <v>1804320</v>
      </c>
      <c r="BZ72" s="66">
        <v>1810604</v>
      </c>
      <c r="CA72" s="15">
        <f t="shared" ref="CA72:CA73" si="484">(BZ72/BY72-1)*100</f>
        <v>0.3482752505098885</v>
      </c>
      <c r="CB72" s="108"/>
    </row>
    <row r="73" spans="1:80" s="1" customFormat="1" ht="19.5" customHeight="1">
      <c r="A73" s="199"/>
      <c r="B73" s="181"/>
      <c r="C73" s="33" t="s">
        <v>104</v>
      </c>
      <c r="D73" s="17">
        <v>23189754</v>
      </c>
      <c r="E73" s="17">
        <v>46476711</v>
      </c>
      <c r="F73" s="17">
        <v>90149879</v>
      </c>
      <c r="G73" s="17">
        <v>87469893</v>
      </c>
      <c r="H73" s="17">
        <v>95500164</v>
      </c>
      <c r="I73" s="17">
        <v>119129267</v>
      </c>
      <c r="J73" s="17">
        <v>118764234</v>
      </c>
      <c r="K73" s="17">
        <v>10060703</v>
      </c>
      <c r="L73" s="17">
        <v>8375226</v>
      </c>
      <c r="M73" s="18">
        <f t="shared" si="0"/>
        <v>-16.753073816014641</v>
      </c>
      <c r="N73" s="17">
        <f>Q73-K73</f>
        <v>7851348</v>
      </c>
      <c r="O73" s="17">
        <f>R73-L73</f>
        <v>9550863</v>
      </c>
      <c r="P73" s="18">
        <f t="shared" si="1"/>
        <v>21.646155539150726</v>
      </c>
      <c r="Q73" s="17">
        <v>17912051</v>
      </c>
      <c r="R73" s="17">
        <v>17926089</v>
      </c>
      <c r="S73" s="18">
        <f t="shared" si="2"/>
        <v>7.8371817945366296E-2</v>
      </c>
      <c r="T73" s="17">
        <f>W73-Q73</f>
        <v>10984537</v>
      </c>
      <c r="U73" s="17">
        <f>X73-R73</f>
        <v>9659491</v>
      </c>
      <c r="V73" s="18">
        <f t="shared" si="465"/>
        <v>-12.062829776075223</v>
      </c>
      <c r="W73" s="17">
        <v>28896588</v>
      </c>
      <c r="X73" s="17">
        <v>27585580</v>
      </c>
      <c r="Y73" s="18">
        <f t="shared" si="466"/>
        <v>-4.5368954978352471</v>
      </c>
      <c r="Z73" s="17">
        <f>AC73-W73</f>
        <v>11338407</v>
      </c>
      <c r="AA73" s="17">
        <f>AD73-X73</f>
        <v>8862960</v>
      </c>
      <c r="AB73" s="18">
        <f t="shared" si="467"/>
        <v>-21.83240555750028</v>
      </c>
      <c r="AC73" s="17">
        <v>40234995</v>
      </c>
      <c r="AD73" s="17">
        <v>36448540</v>
      </c>
      <c r="AE73" s="18">
        <f t="shared" si="468"/>
        <v>-9.4108499329998647</v>
      </c>
      <c r="AF73" s="17">
        <f>AI73-AC73</f>
        <v>9645118</v>
      </c>
      <c r="AG73" s="17">
        <f>AJ73-AD73</f>
        <v>9232035</v>
      </c>
      <c r="AH73" s="18">
        <f t="shared" si="469"/>
        <v>-4.282819557002826</v>
      </c>
      <c r="AI73" s="17">
        <v>49880113</v>
      </c>
      <c r="AJ73" s="17">
        <v>45680575</v>
      </c>
      <c r="AK73" s="18">
        <f t="shared" si="470"/>
        <v>-8.4192632041551363</v>
      </c>
      <c r="AL73" s="17">
        <f>AO73-AI73</f>
        <v>11005621</v>
      </c>
      <c r="AM73" s="17">
        <f>AP73-AJ73</f>
        <v>10539212</v>
      </c>
      <c r="AN73" s="18">
        <f t="shared" si="471"/>
        <v>-4.2379162429816546</v>
      </c>
      <c r="AO73" s="17">
        <v>60885734</v>
      </c>
      <c r="AP73" s="17">
        <v>56219787</v>
      </c>
      <c r="AQ73" s="18">
        <f t="shared" si="472"/>
        <v>-7.663448715260623</v>
      </c>
      <c r="AR73" s="17">
        <f>AU73-AO73</f>
        <v>8224932</v>
      </c>
      <c r="AS73" s="17">
        <f>AV73-AP73</f>
        <v>8508601</v>
      </c>
      <c r="AT73" s="18">
        <f t="shared" si="473"/>
        <v>3.4488917355183002</v>
      </c>
      <c r="AU73" s="17">
        <v>69110666</v>
      </c>
      <c r="AV73" s="17">
        <v>64728388</v>
      </c>
      <c r="AW73" s="18">
        <f t="shared" si="474"/>
        <v>-6.3409575592861422</v>
      </c>
      <c r="AX73" s="17">
        <f>BA73-AU73</f>
        <v>9244830</v>
      </c>
      <c r="AY73" s="17">
        <f>BB73-AV73</f>
        <v>9636303</v>
      </c>
      <c r="AZ73" s="18">
        <f t="shared" si="475"/>
        <v>4.234507286775413</v>
      </c>
      <c r="BA73" s="17">
        <v>78355496</v>
      </c>
      <c r="BB73" s="17">
        <v>74364691</v>
      </c>
      <c r="BC73" s="18">
        <f t="shared" si="476"/>
        <v>-5.0932036726562213</v>
      </c>
      <c r="BD73" s="17">
        <f>BG73-BA73</f>
        <v>8676195</v>
      </c>
      <c r="BE73" s="17">
        <f>BH73-BB73</f>
        <v>8054339</v>
      </c>
      <c r="BF73" s="18">
        <f t="shared" si="477"/>
        <v>-7.1673815537801939</v>
      </c>
      <c r="BG73" s="17">
        <v>87031691</v>
      </c>
      <c r="BH73" s="17">
        <v>82419030</v>
      </c>
      <c r="BI73" s="18">
        <f t="shared" si="478"/>
        <v>-5.2999786020473838</v>
      </c>
      <c r="BJ73" s="17">
        <f>BM73-BG73</f>
        <v>11059778</v>
      </c>
      <c r="BK73" s="17">
        <f>BN73-BH73</f>
        <v>9012079</v>
      </c>
      <c r="BL73" s="18">
        <f t="shared" si="479"/>
        <v>-18.514829140331745</v>
      </c>
      <c r="BM73" s="17">
        <v>98091469</v>
      </c>
      <c r="BN73" s="17">
        <v>91431109</v>
      </c>
      <c r="BO73" s="18">
        <f t="shared" si="480"/>
        <v>-6.7899482675705443</v>
      </c>
      <c r="BP73" s="17">
        <f>BS73-BM73</f>
        <v>9784820</v>
      </c>
      <c r="BQ73" s="17">
        <f>BT73-BN73</f>
        <v>8736028</v>
      </c>
      <c r="BR73" s="18">
        <f t="shared" si="481"/>
        <v>-10.718562017492406</v>
      </c>
      <c r="BS73" s="17">
        <v>107876289</v>
      </c>
      <c r="BT73" s="17">
        <v>100167137</v>
      </c>
      <c r="BU73" s="18">
        <f t="shared" si="482"/>
        <v>-7.1462895799094479</v>
      </c>
      <c r="BV73" s="17">
        <f>BY73-BS73</f>
        <v>10887945</v>
      </c>
      <c r="BW73" s="17">
        <f>BZ73-BT73</f>
        <v>10827983</v>
      </c>
      <c r="BX73" s="18">
        <f t="shared" si="483"/>
        <v>-0.55071916693186784</v>
      </c>
      <c r="BY73" s="17">
        <v>118764234</v>
      </c>
      <c r="BZ73" s="17">
        <v>110995120</v>
      </c>
      <c r="CA73" s="18">
        <f t="shared" si="484"/>
        <v>-6.5416276755508758</v>
      </c>
      <c r="CB73" s="108"/>
    </row>
    <row r="74" spans="1:80" s="1" customFormat="1" ht="19.5" customHeight="1">
      <c r="A74" s="200"/>
      <c r="B74" s="182"/>
      <c r="C74" s="93" t="s">
        <v>105</v>
      </c>
      <c r="D74" s="64">
        <f t="shared" ref="D74:L74" si="485">D73/D72</f>
        <v>66.239974634876475</v>
      </c>
      <c r="E74" s="64">
        <f t="shared" si="485"/>
        <v>59.987133088445979</v>
      </c>
      <c r="F74" s="64">
        <f t="shared" si="485"/>
        <v>75.609112524794199</v>
      </c>
      <c r="G74" s="64">
        <f t="shared" si="485"/>
        <v>83.607238577709808</v>
      </c>
      <c r="H74" s="64">
        <f>H73/H72</f>
        <v>75.546396482629106</v>
      </c>
      <c r="I74" s="64">
        <f>I73/I72</f>
        <v>77.003650149315476</v>
      </c>
      <c r="J74" s="64">
        <f>J73/J72</f>
        <v>65.822156823623303</v>
      </c>
      <c r="K74" s="64">
        <f t="shared" si="485"/>
        <v>78.265391377405749</v>
      </c>
      <c r="L74" s="64">
        <f t="shared" si="485"/>
        <v>62.788451734788737</v>
      </c>
      <c r="M74" s="65"/>
      <c r="N74" s="64">
        <f>N73/N72</f>
        <v>60.260557218512552</v>
      </c>
      <c r="O74" s="64">
        <f>O73/O72</f>
        <v>63.187142743728167</v>
      </c>
      <c r="P74" s="65"/>
      <c r="Q74" s="64">
        <f>Q73/Q72</f>
        <v>69.202317297439308</v>
      </c>
      <c r="R74" s="64">
        <f>R73/R72</f>
        <v>63.000242496661279</v>
      </c>
      <c r="S74" s="65"/>
      <c r="T74" s="64">
        <f>T73/T72</f>
        <v>81.282046159196696</v>
      </c>
      <c r="U74" s="64">
        <f>U73/U72</f>
        <v>67.190382782774421</v>
      </c>
      <c r="V74" s="65"/>
      <c r="W74" s="64">
        <f>W73/W72</f>
        <v>73.345875520652214</v>
      </c>
      <c r="X74" s="64">
        <f>X73/X72</f>
        <v>64.406693392294713</v>
      </c>
      <c r="Y74" s="65"/>
      <c r="Z74" s="64">
        <f>Z73/Z72</f>
        <v>63.550393462469735</v>
      </c>
      <c r="AA74" s="64">
        <f>AA73/AA72</f>
        <v>71.289785478149653</v>
      </c>
      <c r="AB74" s="65"/>
      <c r="AC74" s="64">
        <f>AC73/AC72</f>
        <v>70.292604906069784</v>
      </c>
      <c r="AD74" s="64">
        <f>AD73/AD72</f>
        <v>65.955166785493262</v>
      </c>
      <c r="AE74" s="65"/>
      <c r="AF74" s="64">
        <f>AF73/AF72</f>
        <v>71.1801067135045</v>
      </c>
      <c r="AG74" s="64">
        <f>AG73/AG72</f>
        <v>67.840210162765914</v>
      </c>
      <c r="AH74" s="65"/>
      <c r="AI74" s="64">
        <f>AI73/AI72</f>
        <v>70.462487427531727</v>
      </c>
      <c r="AJ74" s="64">
        <f>AJ73/AJ72</f>
        <v>66.327639605001224</v>
      </c>
      <c r="AK74" s="65"/>
      <c r="AL74" s="64">
        <f>AL73/AL72</f>
        <v>68.67225123702913</v>
      </c>
      <c r="AM74" s="64">
        <f>AM73/AM72</f>
        <v>58.929307500908607</v>
      </c>
      <c r="AN74" s="65"/>
      <c r="AO74" s="64">
        <f>AO73/AO72</f>
        <v>70.132008076861496</v>
      </c>
      <c r="AP74" s="64">
        <f>AP73/AP72</f>
        <v>64.802487678028854</v>
      </c>
      <c r="AQ74" s="65"/>
      <c r="AR74" s="64">
        <f>AR73/AR72</f>
        <v>70.166626855485418</v>
      </c>
      <c r="AS74" s="64">
        <f>AS73/AS72</f>
        <v>68.491262104661558</v>
      </c>
      <c r="AT74" s="65"/>
      <c r="AU74" s="64">
        <f>AU73/AU72</f>
        <v>70.136126302671357</v>
      </c>
      <c r="AV74" s="64">
        <f>AV73/AV72</f>
        <v>65.26453616459213</v>
      </c>
      <c r="AW74" s="65"/>
      <c r="AX74" s="64">
        <f>AX73/AX72</f>
        <v>70.02067711883663</v>
      </c>
      <c r="AY74" s="64">
        <f>AY73/AY72</f>
        <v>56.765276247813048</v>
      </c>
      <c r="AZ74" s="65"/>
      <c r="BA74" s="64">
        <f>BA73/BA72</f>
        <v>70.12248514196682</v>
      </c>
      <c r="BB74" s="64">
        <f>BB73/BB72</f>
        <v>64.022386620544069</v>
      </c>
      <c r="BC74" s="65"/>
      <c r="BD74" s="64">
        <f>BD73/BD72</f>
        <v>69.761156227386024</v>
      </c>
      <c r="BE74" s="64">
        <f>BE73/BE72</f>
        <v>70.506136419342411</v>
      </c>
      <c r="BF74" s="65"/>
      <c r="BG74" s="64">
        <f>BG73/BG72</f>
        <v>70.086296353860064</v>
      </c>
      <c r="BH74" s="64">
        <f>BH73/BH72</f>
        <v>64.602956000181848</v>
      </c>
      <c r="BI74" s="65"/>
      <c r="BJ74" s="64">
        <f>BJ73/BJ72</f>
        <v>51.518465035681679</v>
      </c>
      <c r="BK74" s="64">
        <f>BK73/BK72</f>
        <v>54.237681979308974</v>
      </c>
      <c r="BL74" s="65"/>
      <c r="BM74" s="64">
        <f>BM73/BM72</f>
        <v>67.349467714416164</v>
      </c>
      <c r="BN74" s="64">
        <f>BN73/BN72</f>
        <v>63.408532411610217</v>
      </c>
      <c r="BO74" s="65"/>
      <c r="BP74" s="64">
        <f>BP73/BP72</f>
        <v>61.635108406717308</v>
      </c>
      <c r="BQ74" s="64">
        <f>BQ73/BQ72</f>
        <v>62.346759920068514</v>
      </c>
      <c r="BR74" s="65"/>
      <c r="BS74" s="64">
        <f>BS73/BS72</f>
        <v>66.787820647358942</v>
      </c>
      <c r="BT74" s="64">
        <f>BT73/BT72</f>
        <v>63.314493093485254</v>
      </c>
      <c r="BU74" s="65"/>
      <c r="BV74" s="64">
        <f>BV73/BV72</f>
        <v>57.574361089518852</v>
      </c>
      <c r="BW74" s="64">
        <f>BW73/BW72</f>
        <v>47.377489094146938</v>
      </c>
      <c r="BX74" s="65"/>
      <c r="BY74" s="64">
        <f>BY73/BY72</f>
        <v>65.822156823623303</v>
      </c>
      <c r="BZ74" s="64">
        <f>BZ73/BZ72</f>
        <v>61.302813867637539</v>
      </c>
      <c r="CA74" s="65"/>
      <c r="CB74" s="108"/>
    </row>
    <row r="75" spans="1:80" s="3" customFormat="1" ht="19.5" customHeight="1">
      <c r="A75" s="193" t="s">
        <v>11</v>
      </c>
      <c r="B75" s="194"/>
      <c r="C75" s="12" t="s">
        <v>42</v>
      </c>
      <c r="D75" s="74">
        <f>SUM(D6+D9+D12+D15+D18+D21+D24+D27+D30+D33+D36+D39+D42+D45+D48+D51+D54+D57+D60+D63+D66+D69+D72)</f>
        <v>94659628</v>
      </c>
      <c r="E75" s="74">
        <f t="shared" ref="E75:G76" si="486">SUM(E6+E9+E12+E15+E18+E21+E24+E27+E30+E33+E36+E39+E42+E45+E48+E51+E54+E57+E60+E63+E66+E69+E72)</f>
        <v>135790128</v>
      </c>
      <c r="F75" s="74">
        <f t="shared" si="486"/>
        <v>174061763</v>
      </c>
      <c r="G75" s="74">
        <f t="shared" si="486"/>
        <v>127404940</v>
      </c>
      <c r="H75" s="74">
        <f t="shared" ref="H75:L76" si="487">SUM(H6+H9+H12+H15+H18+H21+H24+H27+H30+H33+H36+H39+H42+H45+H48+H51+H54+H57+H60+H63+H66+H69+H72)</f>
        <v>106796758</v>
      </c>
      <c r="I75" s="74">
        <f>SUM(I6+I9+I12+I15+I18+I21+I24+I27+I30+I33+I36+I39+I42+I45+I48+I51+I54+I57+I60+I63+I66+I69+I72)</f>
        <v>125201605</v>
      </c>
      <c r="J75" s="74">
        <f>SUM(J6+J9+J12+J15+J18+J21+J24+J27+J30+J33+J36+J39+J42+J45+J48+J51+J54+J57+J60+J63+J66+J69+J72)</f>
        <v>137551059</v>
      </c>
      <c r="K75" s="74">
        <f t="shared" si="487"/>
        <v>13662669</v>
      </c>
      <c r="L75" s="74">
        <f t="shared" si="487"/>
        <v>9982070</v>
      </c>
      <c r="M75" s="58">
        <f t="shared" si="0"/>
        <v>-26.939092208118343</v>
      </c>
      <c r="N75" s="74">
        <f>SUM(N6+N9+N12+N15+N18+N21+N24+N27+N30+N33+N36+N39+N42+N45+N48+N51+N54+N57+N60+N63+N66+N69+N72)</f>
        <v>12627264</v>
      </c>
      <c r="O75" s="74">
        <f>SUM(O6+O9+O12+O15+O18+O21+O24+O27+O30+O33+O36+O39+O42+O45+O48+O51+O54+O57+O60+O63+O66+O69+O72)</f>
        <v>9157073</v>
      </c>
      <c r="P75" s="58">
        <f t="shared" si="1"/>
        <v>-27.481733176719835</v>
      </c>
      <c r="Q75" s="74">
        <f>SUM(Q6+Q9+Q12+Q15+Q18+Q21+Q24+Q27+Q30+Q33+Q36+Q39+Q42+Q45+Q48+Q51+Q54+Q57+Q60+Q63+Q66+Q69+Q72)</f>
        <v>26289933</v>
      </c>
      <c r="R75" s="74">
        <f>SUM(R6+R9+R12+R15+R18+R21+R24+R27+R30+R33+R36+R39+R42+R45+R48+R51+R54+R57+R60+R63+R66+R69+R72)</f>
        <v>19139143</v>
      </c>
      <c r="S75" s="58">
        <f t="shared" si="2"/>
        <v>-27.199726982948192</v>
      </c>
      <c r="T75" s="74">
        <f>SUM(T6+T9+T12+T15+T18+T21+T24+T27+T30+T33+T36+T39+T42+T45+T48+T51+T54+T57+T60+T63+T66+T69+T72)</f>
        <v>9896674</v>
      </c>
      <c r="U75" s="74">
        <f>SUM(U6+U9+U12+U15+U18+U21+U24+U27+U30+U33+U36+U39+U42+U45+U48+U51+U54+U57+U60+U63+U66+U69+U72)</f>
        <v>12856186</v>
      </c>
      <c r="V75" s="58">
        <f t="shared" ref="V75:V76" si="488">(U75/T75-1)*100</f>
        <v>29.904107177825612</v>
      </c>
      <c r="W75" s="74">
        <f>SUM(W6+W9+W12+W15+W18+W21+W24+W27+W30+W33+W36+W39+W42+W45+W48+W51+W54+W57+W60+W63+W66+W69+W72)</f>
        <v>36186607</v>
      </c>
      <c r="X75" s="74">
        <f>SUM(X6+X9+X12+X15+X18+X21+X24+X27+X30+X33+X36+X39+X42+X45+X48+X51+X54+X57+X60+X63+X66+X69+X72)</f>
        <v>31995329</v>
      </c>
      <c r="Y75" s="58">
        <f t="shared" ref="Y75:Y76" si="489">(X75/W75-1)*100</f>
        <v>-11.582401190584136</v>
      </c>
      <c r="Z75" s="74">
        <f>SUM(Z6+Z9+Z12+Z15+Z18+Z21+Z24+Z27+Z30+Z33+Z36+Z39+Z42+Z45+Z48+Z51+Z54+Z57+Z60+Z63+Z66+Z69+Z72)</f>
        <v>11466120</v>
      </c>
      <c r="AA75" s="74">
        <f>SUM(AA6+AA9+AA12+AA15+AA18+AA21+AA24+AA27+AA30+AA33+AA36+AA39+AA42+AA45+AA48+AA51+AA54+AA57+AA60+AA63+AA66+AA69+AA72)</f>
        <v>12235182</v>
      </c>
      <c r="AB75" s="58">
        <f t="shared" ref="AB75:AB76" si="490">(AA75/Z75-1)*100</f>
        <v>6.7072558110328417</v>
      </c>
      <c r="AC75" s="74">
        <f>SUM(AC6+AC9+AC12+AC15+AC18+AC21+AC24+AC27+AC30+AC33+AC36+AC39+AC42+AC45+AC48+AC51+AC54+AC57+AC60+AC63+AC66+AC69+AC72)</f>
        <v>47652727</v>
      </c>
      <c r="AD75" s="74">
        <f>SUM(AD6+AD9+AD12+AD15+AD18+AD21+AD24+AD27+AD30+AD33+AD36+AD39+AD42+AD45+AD48+AD51+AD54+AD57+AD60+AD63+AD66+AD69+AD72)</f>
        <v>44230511</v>
      </c>
      <c r="AE75" s="58">
        <f t="shared" ref="AE75:AE76" si="491">(AD75/AC75-1)*100</f>
        <v>-7.1815743094828521</v>
      </c>
      <c r="AF75" s="74">
        <f>SUM(AF6+AF9+AF12+AF15+AF18+AF21+AF24+AF27+AF30+AF33+AF36+AF39+AF42+AF45+AF48+AF51+AF54+AF57+AF60+AF63+AF66+AF69+AF72)</f>
        <v>8445800</v>
      </c>
      <c r="AG75" s="74">
        <f>SUM(AG6+AG9+AG12+AG15+AG18+AG21+AG24+AG27+AG30+AG33+AG36+AG39+AG42+AG45+AG48+AG51+AG54+AG57+AG60+AG63+AG66+AG69+AG72)</f>
        <v>9947813</v>
      </c>
      <c r="AH75" s="58">
        <f t="shared" ref="AH75:AH76" si="492">(AG75/AF75-1)*100</f>
        <v>17.784141229960461</v>
      </c>
      <c r="AI75" s="74">
        <f>SUM(AI6+AI9+AI12+AI15+AI18+AI21+AI24+AI27+AI30+AI33+AI36+AI39+AI42+AI45+AI48+AI51+AI54+AI57+AI60+AI63+AI66+AI69+AI72)</f>
        <v>56098527</v>
      </c>
      <c r="AJ75" s="74">
        <f>SUM(AJ6+AJ9+AJ12+AJ15+AJ18+AJ21+AJ24+AJ27+AJ30+AJ33+AJ36+AJ39+AJ42+AJ45+AJ48+AJ51+AJ54+AJ57+AJ60+AJ63+AJ66+AJ69+AJ72)</f>
        <v>54178324</v>
      </c>
      <c r="AK75" s="58">
        <f t="shared" ref="AK75:AK76" si="493">(AJ75/AI75-1)*100</f>
        <v>-3.4229116211910493</v>
      </c>
      <c r="AL75" s="74">
        <f>SUM(AL6+AL9+AL12+AL15+AL18+AL21+AL24+AL27+AL30+AL33+AL36+AL39+AL42+AL45+AL48+AL51+AL54+AL57+AL60+AL63+AL66+AL69+AL72)</f>
        <v>10701857</v>
      </c>
      <c r="AM75" s="74">
        <f>SUM(AM6+AM9+AM12+AM15+AM18+AM21+AM24+AM27+AM30+AM33+AM36+AM39+AM42+AM45+AM48+AM51+AM54+AM57+AM60+AM63+AM66+AM69+AM72)</f>
        <v>13929180</v>
      </c>
      <c r="AN75" s="58">
        <f t="shared" ref="AN75:AN76" si="494">(AM75/AL75-1)*100</f>
        <v>30.156663465041621</v>
      </c>
      <c r="AO75" s="74">
        <f>SUM(AO6+AO9+AO12+AO15+AO18+AO21+AO24+AO27+AO30+AO33+AO36+AO39+AO42+AO45+AO48+AO51+AO54+AO57+AO60+AO63+AO66+AO69+AO72)</f>
        <v>66800384</v>
      </c>
      <c r="AP75" s="74">
        <f>SUM(AP6+AP9+AP12+AP15+AP18+AP21+AP24+AP27+AP30+AP33+AP36+AP39+AP42+AP45+AP48+AP51+AP54+AP57+AP60+AP63+AP66+AP69+AP72)</f>
        <v>68107504</v>
      </c>
      <c r="AQ75" s="58">
        <f t="shared" ref="AQ75:AQ76" si="495">(AP75/AO75-1)*100</f>
        <v>1.9567552186526393</v>
      </c>
      <c r="AR75" s="74">
        <f>SUM(AR6+AR9+AR12+AR15+AR18+AR21+AR24+AR27+AR30+AR33+AR36+AR39+AR42+AR45+AR48+AR51+AR54+AR57+AR60+AR63+AR66+AR69+AR72)</f>
        <v>12074074</v>
      </c>
      <c r="AS75" s="74">
        <f>SUM(AS6+AS9+AS12+AS15+AS18+AS21+AS24+AS27+AS30+AS33+AS36+AS39+AS42+AS45+AS48+AS51+AS54+AS57+AS60+AS63+AS66+AS69+AS72)</f>
        <v>9765373</v>
      </c>
      <c r="AT75" s="58">
        <f t="shared" ref="AT75:AT76" si="496">(AS75/AR75-1)*100</f>
        <v>-19.121143368841377</v>
      </c>
      <c r="AU75" s="74">
        <f>SUM(AU6+AU9+AU12+AU15+AU18+AU21+AU24+AU27+AU30+AU33+AU36+AU39+AU42+AU45+AU48+AU51+AU54+AU57+AU60+AU63+AU66+AU69+AU72)</f>
        <v>78874458</v>
      </c>
      <c r="AV75" s="74">
        <f>SUM(AV6+AV9+AV12+AV15+AV18+AV21+AV24+AV27+AV30+AV33+AV36+AV39+AV42+AV45+AV48+AV51+AV54+AV57+AV60+AV63+AV66+AV69+AV72)</f>
        <v>77872877</v>
      </c>
      <c r="AW75" s="58">
        <f t="shared" ref="AW75:AW76" si="497">(AV75/AU75-1)*100</f>
        <v>-1.2698420063945171</v>
      </c>
      <c r="AX75" s="74">
        <f>SUM(AX6+AX9+AX12+AX15+AX18+AX21+AX24+AX27+AX30+AX33+AX36+AX39+AX42+AX45+AX48+AX51+AX54+AX57+AX60+AX63+AX66+AX69+AX72)</f>
        <v>13895286</v>
      </c>
      <c r="AY75" s="74">
        <f>SUM(AY6+AY9+AY12+AY15+AY18+AY21+AY24+AY27+AY30+AY33+AY36+AY39+AY42+AY45+AY48+AY51+AY54+AY57+AY60+AY63+AY66+AY69+AY72)</f>
        <v>12041391</v>
      </c>
      <c r="AZ75" s="58">
        <f t="shared" ref="AZ75:AZ76" si="498">(AY75/AX75-1)*100</f>
        <v>-13.341898828134957</v>
      </c>
      <c r="BA75" s="74">
        <f>SUM(BA6+BA9+BA12+BA15+BA18+BA21+BA24+BA27+BA30+BA33+BA36+BA39+BA42+BA45+BA48+BA51+BA54+BA57+BA60+BA63+BA66+BA69+BA72)</f>
        <v>92769744</v>
      </c>
      <c r="BB75" s="74">
        <f>SUM(BB6+BB9+BB12+BB15+BB18+BB21+BB24+BB27+BB30+BB33+BB36+BB39+BB42+BB45+BB48+BB51+BB54+BB57+BB60+BB63+BB66+BB69+BB72)</f>
        <v>89914268</v>
      </c>
      <c r="BC75" s="58">
        <f t="shared" ref="BC75:BC76" si="499">(BB75/BA75-1)*100</f>
        <v>-3.0780250940435905</v>
      </c>
      <c r="BD75" s="74">
        <f>SUM(BD6+BD9+BD12+BD15+BD18+BD21+BD24+BD27+BD30+BD33+BD36+BD39+BD42+BD45+BD48+BD51+BD54+BD57+BD60+BD63+BD66+BD69+BD72)</f>
        <v>11017864</v>
      </c>
      <c r="BE75" s="74">
        <f>SUM(BE6+BE9+BE12+BE15+BE18+BE21+BE24+BE27+BE30+BE33+BE36+BE39+BE42+BE45+BE48+BE51+BE54+BE57+BE60+BE63+BE66+BE69+BE72)</f>
        <v>10967407</v>
      </c>
      <c r="BF75" s="58">
        <f t="shared" ref="BF75:BF76" si="500">(BE75/BD75-1)*100</f>
        <v>-0.45795627900290237</v>
      </c>
      <c r="BG75" s="74">
        <f>SUM(BG6+BG9+BG12+BG15+BG18+BG21+BG24+BG27+BG30+BG33+BG36+BG39+BG42+BG45+BG48+BG51+BG54+BG57+BG60+BG63+BG66+BG69+BG72)</f>
        <v>103787608</v>
      </c>
      <c r="BH75" s="74">
        <f>SUM(BH6+BH9+BH12+BH15+BH18+BH21+BH24+BH27+BH30+BH33+BH36+BH39+BH42+BH45+BH48+BH51+BH54+BH57+BH60+BH63+BH66+BH69+BH72)</f>
        <v>100881675</v>
      </c>
      <c r="BI75" s="58">
        <f t="shared" ref="BI75:BI76" si="501">(BH75/BG75-1)*100</f>
        <v>-2.7998843561362396</v>
      </c>
      <c r="BJ75" s="74">
        <f>SUM(BJ6+BJ9+BJ12+BJ15+BJ18+BJ21+BJ24+BJ27+BJ30+BJ33+BJ36+BJ39+BJ42+BJ45+BJ48+BJ51+BJ54+BJ57+BJ60+BJ63+BJ66+BJ69+BJ72)</f>
        <v>12456723</v>
      </c>
      <c r="BK75" s="74">
        <f>SUM(BK6+BK9+BK12+BK15+BK18+BK21+BK24+BK27+BK30+BK33+BK36+BK39+BK42+BK45+BK48+BK51+BK54+BK57+BK60+BK63+BK66+BK69+BK72)</f>
        <v>12917926</v>
      </c>
      <c r="BL75" s="58">
        <f t="shared" ref="BL75:BL76" si="502">(BK75/BJ75-1)*100</f>
        <v>3.7024424481462814</v>
      </c>
      <c r="BM75" s="74">
        <f>SUM(BM6+BM9+BM12+BM15+BM18+BM21+BM24+BM27+BM30+BM33+BM36+BM39+BM42+BM45+BM48+BM51+BM54+BM57+BM60+BM63+BM66+BM69+BM72)</f>
        <v>116244331</v>
      </c>
      <c r="BN75" s="74">
        <f>SUM(BN6+BN9+BN12+BN15+BN18+BN21+BN24+BN27+BN30+BN33+BN36+BN39+BN42+BN45+BN48+BN51+BN54+BN57+BN60+BN63+BN66+BN69+BN72)</f>
        <v>113799601</v>
      </c>
      <c r="BO75" s="58">
        <f t="shared" ref="BO75:BO76" si="503">(BN75/BM75-1)*100</f>
        <v>-2.1030961071125231</v>
      </c>
      <c r="BP75" s="74">
        <f>SUM(BP6+BP9+BP12+BP15+BP18+BP21+BP24+BP27+BP30+BP33+BP36+BP39+BP42+BP45+BP48+BP51+BP54+BP57+BP60+BP63+BP66+BP69+BP72)</f>
        <v>10444261</v>
      </c>
      <c r="BQ75" s="74">
        <f>SUM(BQ6+BQ9+BQ12+BQ15+BQ18+BQ21+BQ24+BQ27+BQ30+BQ33+BQ36+BQ39+BQ42+BQ45+BQ48+BQ51+BQ54+BQ57+BQ60+BQ63+BQ66+BQ69+BQ72)</f>
        <v>14168348</v>
      </c>
      <c r="BR75" s="58">
        <f t="shared" ref="BR75:BR76" si="504">(BQ75/BP75-1)*100</f>
        <v>35.6567783972461</v>
      </c>
      <c r="BS75" s="74">
        <f>SUM(BS6+BS9+BS12+BS15+BS18+BS21+BS24+BS27+BS30+BS33+BS36+BS39+BS42+BS45+BS48+BS51+BS54+BS57+BS60+BS63+BS66+BS69+BS72)</f>
        <v>126688592</v>
      </c>
      <c r="BT75" s="74">
        <f>SUM(BT6+BT9+BT12+BT15+BT18+BT21+BT24+BT27+BT30+BT33+BT36+BT39+BT42+BT45+BT48+BT51+BT54+BT57+BT60+BT63+BT66+BT69+BT72)</f>
        <v>127967949</v>
      </c>
      <c r="BU75" s="58">
        <f t="shared" ref="BU75:BU76" si="505">(BT75/BS75-1)*100</f>
        <v>1.0098438855489</v>
      </c>
      <c r="BV75" s="74">
        <f>SUM(BV6+BV9+BV12+BV15+BV18+BV21+BV24+BV27+BV30+BV33+BV36+BV39+BV42+BV45+BV48+BV51+BV54+BV57+BV60+BV63+BV66+BV69+BV72)</f>
        <v>10862467</v>
      </c>
      <c r="BW75" s="74">
        <f>SUM(BW6+BW9+BW12+BW15+BW18+BW21+BW24+BW27+BW30+BW33+BW36+BW39+BW42+BW45+BW48+BW51+BW54+BW57+BW60+BW63+BW66+BW69+BW72)</f>
        <v>12769215</v>
      </c>
      <c r="BX75" s="58">
        <f t="shared" ref="BX75:BX76" si="506">(BW75/BV75-1)*100</f>
        <v>17.553544696614498</v>
      </c>
      <c r="BY75" s="74">
        <f>SUM(BY6+BY9+BY12+BY15+BY18+BY21+BY24+BY27+BY30+BY33+BY36+BY39+BY42+BY45+BY48+BY51+BY54+BY57+BY60+BY63+BY66+BY69+BY72)</f>
        <v>137551059</v>
      </c>
      <c r="BZ75" s="74">
        <f>SUM(BZ6+BZ9+BZ12+BZ15+BZ18+BZ21+BZ24+BZ27+BZ30+BZ33+BZ36+BZ39+BZ42+BZ45+BZ48+BZ51+BZ54+BZ57+BZ60+BZ63+BZ66+BZ69+BZ72)</f>
        <v>140737164</v>
      </c>
      <c r="CA75" s="58">
        <f t="shared" ref="CA75:CA76" si="507">(BZ75/BY75-1)*100</f>
        <v>2.3163071394455725</v>
      </c>
      <c r="CB75" s="108"/>
    </row>
    <row r="76" spans="1:80" s="3" customFormat="1" ht="19.5" customHeight="1">
      <c r="A76" s="195"/>
      <c r="B76" s="196"/>
      <c r="C76" s="4" t="s">
        <v>104</v>
      </c>
      <c r="D76" s="29">
        <f>SUM(D7+D10+D13+D16+D19+D22+D25+D28+D31+D34+D37+D40+D43+D46+D49+D52+D55+D58+D61+D64+D67+D70+D73)</f>
        <v>783577511</v>
      </c>
      <c r="E76" s="29">
        <f t="shared" si="486"/>
        <v>1096797188</v>
      </c>
      <c r="F76" s="29">
        <f t="shared" si="486"/>
        <v>1679838666</v>
      </c>
      <c r="G76" s="29">
        <f t="shared" si="486"/>
        <v>1365912118</v>
      </c>
      <c r="H76" s="29">
        <f t="shared" si="487"/>
        <v>1200936532</v>
      </c>
      <c r="I76" s="29">
        <f>SUM(I7+I10+I13+I16+I19+I22+I25+I28+I31+I34+I37+I40+I43+I46+I49+I52+I55+I58+I61+I64+I67+I70+I73)</f>
        <v>1136600361</v>
      </c>
      <c r="J76" s="29">
        <f>SUM(J7+J10+J13+J16+J19+J22+J25+J28+J31+J34+J37+J40+J43+J46+J49+J52+J55+J58+J61+J64+J67+J70+J73)</f>
        <v>1038840820</v>
      </c>
      <c r="K76" s="29">
        <f t="shared" si="487"/>
        <v>98787802</v>
      </c>
      <c r="L76" s="29">
        <f t="shared" si="487"/>
        <v>72897691</v>
      </c>
      <c r="M76" s="60">
        <f t="shared" si="0"/>
        <v>-26.207801444959777</v>
      </c>
      <c r="N76" s="29">
        <f>SUM(N7+N10+N13+N16+N19+N22+N25+N28+N31+N34+N37+N40+N43+N46+N49+N52+N55+N58+N61+N64+N67+N70+N73)</f>
        <v>89069238</v>
      </c>
      <c r="O76" s="29">
        <f>SUM(O7+O10+O13+O16+O19+O22+O25+O28+O31+O34+O37+O40+O43+O46+O49+O52+O55+O58+O61+O64+O67+O70+O73)</f>
        <v>72093614</v>
      </c>
      <c r="P76" s="60">
        <f t="shared" si="1"/>
        <v>-19.05890785772749</v>
      </c>
      <c r="Q76" s="29">
        <f>SUM(Q7+Q10+Q13+Q16+Q19+Q22+Q25+Q28+Q31+Q34+Q37+Q40+Q43+Q46+Q49+Q52+Q55+Q58+Q61+Q64+Q67+Q70+Q73)</f>
        <v>187857040</v>
      </c>
      <c r="R76" s="29">
        <f>SUM(R7+R10+R13+R16+R19+R22+R25+R28+R31+R34+R37+R40+R43+R46+R49+R52+R55+R58+R61+R64+R67+R70+R73)</f>
        <v>144991305</v>
      </c>
      <c r="S76" s="60">
        <f t="shared" si="2"/>
        <v>-22.818274470842294</v>
      </c>
      <c r="T76" s="29">
        <f>SUM(T7+T10+T13+T16+T19+T22+T25+T28+T31+T34+T37+T40+T43+T46+T49+T52+T55+T58+T61+T64+T67+T70+T73)</f>
        <v>85748522</v>
      </c>
      <c r="U76" s="29">
        <f>SUM(U7+U10+U13+U16+U19+U22+U25+U28+U31+U34+U37+U40+U43+U46+U49+U52+U55+U58+U61+U64+U67+U70+U73)</f>
        <v>82416496</v>
      </c>
      <c r="V76" s="60">
        <f t="shared" si="488"/>
        <v>-3.8858115828515394</v>
      </c>
      <c r="W76" s="29">
        <f>SUM(W7+W10+W13+W16+W19+W22+W25+W28+W31+W34+W37+W40+W43+W46+W49+W52+W55+W58+W61+W64+W67+W70+W73)</f>
        <v>273605562</v>
      </c>
      <c r="X76" s="29">
        <f>SUM(X7+X10+X13+X16+X19+X22+X25+X28+X31+X34+X37+X40+X43+X46+X49+X52+X55+X58+X61+X64+X67+X70+X73)</f>
        <v>227407801</v>
      </c>
      <c r="Y76" s="60">
        <f t="shared" si="489"/>
        <v>-16.884803314049591</v>
      </c>
      <c r="Z76" s="29">
        <f>SUM(Z7+Z10+Z13+Z16+Z19+Z22+Z25+Z28+Z31+Z34+Z37+Z40+Z43+Z46+Z49+Z52+Z55+Z58+Z61+Z64+Z67+Z70+Z73)</f>
        <v>94380704</v>
      </c>
      <c r="AA76" s="29">
        <f>SUM(AA7+AA10+AA13+AA16+AA19+AA22+AA25+AA28+AA31+AA34+AA37+AA40+AA43+AA46+AA49+AA52+AA55+AA58+AA61+AA64+AA67+AA70+AA73)</f>
        <v>77714501</v>
      </c>
      <c r="AB76" s="60">
        <f t="shared" si="490"/>
        <v>-17.658485573491799</v>
      </c>
      <c r="AC76" s="29">
        <f>SUM(AC7+AC10+AC13+AC16+AC19+AC22+AC25+AC28+AC31+AC34+AC37+AC40+AC43+AC46+AC49+AC52+AC55+AC58+AC61+AC64+AC67+AC70+AC73)</f>
        <v>367986266</v>
      </c>
      <c r="AD76" s="29">
        <f>SUM(AD7+AD10+AD13+AD16+AD19+AD22+AD25+AD28+AD31+AD34+AD37+AD40+AD43+AD46+AD49+AD52+AD55+AD58+AD61+AD64+AD67+AD70+AD73)</f>
        <v>305122302</v>
      </c>
      <c r="AE76" s="60">
        <f t="shared" si="491"/>
        <v>-17.083236470569794</v>
      </c>
      <c r="AF76" s="29">
        <f>SUM(AF7+AF10+AF13+AF16+AF19+AF22+AF25+AF28+AF31+AF34+AF37+AF40+AF43+AF46+AF49+AF52+AF55+AF58+AF61+AF64+AF67+AF70+AF73)</f>
        <v>74222351</v>
      </c>
      <c r="AG76" s="29">
        <f>SUM(AG7+AG10+AG13+AG16+AG19+AG22+AG25+AG28+AG31+AG34+AG37+AG40+AG43+AG46+AG49+AG52+AG55+AG58+AG61+AG64+AG67+AG70+AG73)</f>
        <v>72303572</v>
      </c>
      <c r="AH76" s="60">
        <f t="shared" si="492"/>
        <v>-2.5851768020660026</v>
      </c>
      <c r="AI76" s="29">
        <f>SUM(AI7+AI10+AI13+AI16+AI19+AI22+AI25+AI28+AI31+AI34+AI37+AI40+AI43+AI46+AI49+AI52+AI55+AI58+AI61+AI64+AI67+AI70+AI73)</f>
        <v>442208617</v>
      </c>
      <c r="AJ76" s="29">
        <f>SUM(AJ7+AJ10+AJ13+AJ16+AJ19+AJ22+AJ25+AJ28+AJ31+AJ34+AJ37+AJ40+AJ43+AJ46+AJ49+AJ52+AJ55+AJ58+AJ61+AJ64+AJ67+AJ70+AJ73)</f>
        <v>377425874</v>
      </c>
      <c r="AK76" s="60">
        <f t="shared" si="493"/>
        <v>-14.649814704990249</v>
      </c>
      <c r="AL76" s="29">
        <f>SUM(AL7+AL10+AL13+AL16+AL19+AL22+AL25+AL28+AL31+AL34+AL37+AL40+AL43+AL46+AL49+AL52+AL55+AL58+AL61+AL64+AL67+AL70+AL73)</f>
        <v>92139717</v>
      </c>
      <c r="AM76" s="29">
        <f>SUM(AM7+AM10+AM13+AM16+AM19+AM22+AM25+AM28+AM31+AM34+AM37+AM40+AM43+AM46+AM49+AM52+AM55+AM58+AM61+AM64+AM67+AM70+AM73)</f>
        <v>78994836</v>
      </c>
      <c r="AN76" s="60">
        <f t="shared" si="494"/>
        <v>-14.266248506059554</v>
      </c>
      <c r="AO76" s="29">
        <f>SUM(AO7+AO10+AO13+AO16+AO19+AO22+AO25+AO28+AO31+AO34+AO37+AO40+AO43+AO46+AO49+AO52+AO55+AO58+AO61+AO64+AO67+AO70+AO73)</f>
        <v>534348334</v>
      </c>
      <c r="AP76" s="29">
        <f>SUM(AP7+AP10+AP13+AP16+AP19+AP22+AP25+AP28+AP31+AP34+AP37+AP40+AP43+AP46+AP49+AP52+AP55+AP58+AP61+AP64+AP67+AP70+AP73)</f>
        <v>456420710</v>
      </c>
      <c r="AQ76" s="60">
        <f t="shared" si="495"/>
        <v>-14.583674925427948</v>
      </c>
      <c r="AR76" s="29">
        <f>SUM(AR7+AR10+AR13+AR16+AR19+AR22+AR25+AR28+AR31+AR34+AR37+AR40+AR43+AR46+AR49+AR52+AR55+AR58+AR61+AR64+AR67+AR70+AR73)</f>
        <v>92610891</v>
      </c>
      <c r="AS76" s="29">
        <f>SUM(AS7+AS10+AS13+AS16+AS19+AS22+AS25+AS28+AS31+AS34+AS37+AS40+AS43+AS46+AS49+AS52+AS55+AS58+AS61+AS64+AS67+AS70+AS73)</f>
        <v>72576772</v>
      </c>
      <c r="AT76" s="60">
        <f t="shared" si="496"/>
        <v>-21.632573430267509</v>
      </c>
      <c r="AU76" s="29">
        <f>SUM(AU7+AU10+AU13+AU16+AU19+AU22+AU25+AU28+AU31+AU34+AU37+AU40+AU43+AU46+AU49+AU52+AU55+AU58+AU61+AU64+AU67+AU70+AU73)</f>
        <v>626959225</v>
      </c>
      <c r="AV76" s="29">
        <f>SUM(AV7+AV10+AV13+AV16+AV19+AV22+AV25+AV28+AV31+AV34+AV37+AV40+AV43+AV46+AV49+AV52+AV55+AV58+AV61+AV64+AV67+AV70+AV73)</f>
        <v>528997482</v>
      </c>
      <c r="AW76" s="60">
        <f t="shared" si="497"/>
        <v>-15.624898572949464</v>
      </c>
      <c r="AX76" s="29">
        <f>SUM(AX7+AX10+AX13+AX16+AX19+AX22+AX25+AX28+AX31+AX34+AX37+AX40+AX43+AX46+AX49+AX52+AX55+AX58+AX61+AX64+AX67+AX70+AX73)</f>
        <v>89447403</v>
      </c>
      <c r="AY76" s="29">
        <f>SUM(AY7+AY10+AY13+AY16+AY19+AY22+AY25+AY28+AY31+AY34+AY37+AY40+AY43+AY46+AY49+AY52+AY55+AY58+AY61+AY64+AY67+AY70+AY73)</f>
        <v>77915988</v>
      </c>
      <c r="AZ76" s="60">
        <f t="shared" si="498"/>
        <v>-12.891838793799304</v>
      </c>
      <c r="BA76" s="29">
        <f>SUM(BA7+BA10+BA13+BA16+BA19+BA22+BA25+BA28+BA31+BA34+BA37+BA40+BA43+BA46+BA49+BA52+BA55+BA58+BA61+BA64+BA67+BA70+BA73)</f>
        <v>716406628</v>
      </c>
      <c r="BB76" s="29">
        <f>SUM(BB7+BB10+BB13+BB16+BB19+BB22+BB25+BB28+BB31+BB34+BB37+BB40+BB43+BB46+BB49+BB52+BB55+BB58+BB61+BB64+BB67+BB70+BB73)</f>
        <v>606913470</v>
      </c>
      <c r="BC76" s="60">
        <f t="shared" si="499"/>
        <v>-15.283660664289666</v>
      </c>
      <c r="BD76" s="29">
        <f>SUM(BD7+BD10+BD13+BD16+BD19+BD22+BD25+BD28+BD31+BD34+BD37+BD40+BD43+BD46+BD49+BD52+BD55+BD58+BD61+BD64+BD67+BD70+BD73)</f>
        <v>79510223</v>
      </c>
      <c r="BE76" s="29">
        <f>SUM(BE7+BE10+BE13+BE16+BE19+BE22+BE25+BE28+BE31+BE34+BE37+BE40+BE43+BE46+BE49+BE52+BE55+BE58+BE61+BE64+BE67+BE70+BE73)</f>
        <v>75706565</v>
      </c>
      <c r="BF76" s="60">
        <f t="shared" si="500"/>
        <v>-4.7838603093843695</v>
      </c>
      <c r="BG76" s="29">
        <f>SUM(BG7+BG10+BG13+BG16+BG19+BG22+BG25+BG28+BG31+BG34+BG37+BG40+BG43+BG46+BG49+BG52+BG55+BG58+BG61+BG64+BG67+BG70+BG73)</f>
        <v>795916851</v>
      </c>
      <c r="BH76" s="29">
        <f>SUM(BH7+BH10+BH13+BH16+BH19+BH22+BH25+BH28+BH31+BH34+BH37+BH40+BH43+BH46+BH49+BH52+BH55+BH58+BH61+BH64+BH67+BH70+BH73)</f>
        <v>682620035</v>
      </c>
      <c r="BI76" s="60">
        <f t="shared" si="501"/>
        <v>-14.234755283501343</v>
      </c>
      <c r="BJ76" s="29">
        <f>SUM(BJ7+BJ10+BJ13+BJ16+BJ19+BJ22+BJ25+BJ28+BJ31+BJ34+BJ37+BJ40+BJ43+BJ46+BJ49+BJ52+BJ55+BJ58+BJ61+BJ64+BJ67+BJ70+BJ73)</f>
        <v>81984652</v>
      </c>
      <c r="BK76" s="29">
        <f>SUM(BK7+BK10+BK13+BK16+BK19+BK22+BK25+BK28+BK31+BK34+BK37+BK40+BK43+BK46+BK49+BK52+BK55+BK58+BK61+BK64+BK67+BK70+BK73)</f>
        <v>83697509</v>
      </c>
      <c r="BL76" s="60">
        <f t="shared" si="502"/>
        <v>2.0892410447750587</v>
      </c>
      <c r="BM76" s="29">
        <f>SUM(BM7+BM10+BM13+BM16+BM19+BM22+BM25+BM28+BM31+BM34+BM37+BM40+BM43+BM46+BM49+BM52+BM55+BM58+BM61+BM64+BM67+BM70+BM73)</f>
        <v>877901503</v>
      </c>
      <c r="BN76" s="29">
        <f>SUM(BN7+BN10+BN13+BN16+BN19+BN22+BN25+BN28+BN31+BN34+BN37+BN40+BN43+BN46+BN49+BN52+BN55+BN58+BN61+BN64+BN67+BN70+BN73)</f>
        <v>766317544</v>
      </c>
      <c r="BO76" s="60">
        <f t="shared" si="503"/>
        <v>-12.710305042045245</v>
      </c>
      <c r="BP76" s="29">
        <f>SUM(BP7+BP10+BP13+BP16+BP19+BP22+BP25+BP28+BP31+BP34+BP37+BP40+BP43+BP46+BP49+BP52+BP55+BP58+BP61+BP64+BP67+BP70+BP73)</f>
        <v>81623641</v>
      </c>
      <c r="BQ76" s="29">
        <f>SUM(BQ7+BQ10+BQ13+BQ16+BQ19+BQ22+BQ25+BQ28+BQ31+BQ34+BQ37+BQ40+BQ43+BQ46+BQ49+BQ52+BQ55+BQ58+BQ61+BQ64+BQ67+BQ70+BQ73)</f>
        <v>88175808</v>
      </c>
      <c r="BR76" s="60">
        <f t="shared" si="504"/>
        <v>8.0272907698395901</v>
      </c>
      <c r="BS76" s="29">
        <f>SUM(BS7+BS10+BS13+BS16+BS19+BS22+BS25+BS28+BS31+BS34+BS37+BS40+BS43+BS46+BS49+BS52+BS55+BS58+BS61+BS64+BS67+BS70+BS73)</f>
        <v>959525144</v>
      </c>
      <c r="BT76" s="29">
        <f>SUM(BT7+BT10+BT13+BT16+BT19+BT22+BT25+BT28+BT31+BT34+BT37+BT40+BT43+BT46+BT49+BT52+BT55+BT58+BT61+BT64+BT67+BT70+BT73)</f>
        <v>854493352</v>
      </c>
      <c r="BU76" s="60">
        <f t="shared" si="505"/>
        <v>-10.946226126201442</v>
      </c>
      <c r="BV76" s="29">
        <f>SUM(BV7+BV10+BV13+BV16+BV19+BV22+BV25+BV28+BV31+BV34+BV37+BV40+BV43+BV46+BV49+BV52+BV55+BV58+BV61+BV64+BV67+BV70+BV73)</f>
        <v>79315676</v>
      </c>
      <c r="BW76" s="29">
        <f>SUM(BW7+BW10+BW13+BW16+BW19+BW22+BW25+BW28+BW31+BW34+BW37+BW40+BW43+BW46+BW49+BW52+BW55+BW58+BW61+BW64+BW67+BW70+BW73)</f>
        <v>88231435</v>
      </c>
      <c r="BX76" s="60">
        <f t="shared" si="506"/>
        <v>11.240853573510478</v>
      </c>
      <c r="BY76" s="29">
        <f>SUM(BY7+BY10+BY13+BY16+BY19+BY22+BY25+BY28+BY31+BY34+BY37+BY40+BY43+BY46+BY49+BY52+BY55+BY58+BY61+BY64+BY67+BY70+BY73)</f>
        <v>1038840820</v>
      </c>
      <c r="BZ76" s="29">
        <f>SUM(BZ7+BZ10+BZ13+BZ16+BZ19+BZ22+BZ25+BZ28+BZ31+BZ34+BZ37+BZ40+BZ43+BZ46+BZ49+BZ52+BZ55+BZ58+BZ61+BZ64+BZ67+BZ70+BZ73)</f>
        <v>942724787</v>
      </c>
      <c r="CA76" s="60">
        <f t="shared" si="507"/>
        <v>-9.2522387597360645</v>
      </c>
      <c r="CB76" s="108"/>
    </row>
    <row r="77" spans="1:80" s="3" customFormat="1" ht="19.5" customHeight="1">
      <c r="A77" s="197"/>
      <c r="B77" s="198"/>
      <c r="C77" s="75" t="s">
        <v>52</v>
      </c>
      <c r="D77" s="76">
        <f t="shared" ref="D77:L77" si="508">D76/D75*1000</f>
        <v>8277.8427039666803</v>
      </c>
      <c r="E77" s="76">
        <f t="shared" si="508"/>
        <v>8077.1496732074675</v>
      </c>
      <c r="F77" s="76">
        <f t="shared" si="508"/>
        <v>9650.8195542061694</v>
      </c>
      <c r="G77" s="76">
        <f t="shared" si="508"/>
        <v>10721.029482844227</v>
      </c>
      <c r="H77" s="76">
        <f>H76/H75*1000</f>
        <v>11245.065435413311</v>
      </c>
      <c r="I77" s="76">
        <f>I76/I75*1000</f>
        <v>9078.1612663831274</v>
      </c>
      <c r="J77" s="76">
        <f>J76/J75*1000</f>
        <v>7552.4014686066503</v>
      </c>
      <c r="K77" s="76">
        <f t="shared" si="508"/>
        <v>7230.4907628224028</v>
      </c>
      <c r="L77" s="76">
        <f t="shared" si="508"/>
        <v>7302.8631335985419</v>
      </c>
      <c r="M77" s="77"/>
      <c r="N77" s="76">
        <f>N76/N75*1000</f>
        <v>7053.7242271960104</v>
      </c>
      <c r="O77" s="76">
        <f>O76/O75*1000</f>
        <v>7872.9976270801817</v>
      </c>
      <c r="P77" s="77"/>
      <c r="Q77" s="76">
        <f>Q76/Q75*1000</f>
        <v>7145.5883892895426</v>
      </c>
      <c r="R77" s="76">
        <f>R76/R75*1000</f>
        <v>7575.6424935014074</v>
      </c>
      <c r="S77" s="77"/>
      <c r="T77" s="76">
        <f>T76/T75*1000</f>
        <v>8664.3777495348422</v>
      </c>
      <c r="U77" s="76">
        <f>U76/U75*1000</f>
        <v>6410.6490058560139</v>
      </c>
      <c r="V77" s="77"/>
      <c r="W77" s="76">
        <f>W76/W75*1000</f>
        <v>7560.9620432222337</v>
      </c>
      <c r="X77" s="76">
        <f>X76/X75*1000</f>
        <v>7107.5312587034186</v>
      </c>
      <c r="Y77" s="77"/>
      <c r="Z77" s="76">
        <f>Z76/Z75*1000</f>
        <v>8231.2677697425097</v>
      </c>
      <c r="AA77" s="76">
        <f>AA76/AA75*1000</f>
        <v>6351.7241508953439</v>
      </c>
      <c r="AB77" s="77"/>
      <c r="AC77" s="76">
        <f>AC76/AC75*1000</f>
        <v>7722.2498934845844</v>
      </c>
      <c r="AD77" s="76">
        <f>AD76/AD75*1000</f>
        <v>6898.4575376033981</v>
      </c>
      <c r="AE77" s="77"/>
      <c r="AF77" s="76">
        <f>AF76/AF75*1000</f>
        <v>8788.0782163915792</v>
      </c>
      <c r="AG77" s="76">
        <f>AG76/AG75*1000</f>
        <v>7268.2882157113327</v>
      </c>
      <c r="AH77" s="77"/>
      <c r="AI77" s="76">
        <f>AI76/AI75*1000</f>
        <v>7882.7135158112087</v>
      </c>
      <c r="AJ77" s="76">
        <f>AJ76/AJ75*1000</f>
        <v>6966.3630421642429</v>
      </c>
      <c r="AK77" s="77"/>
      <c r="AL77" s="76">
        <f>AL76/AL75*1000</f>
        <v>8609.6942801609111</v>
      </c>
      <c r="AM77" s="76">
        <f>AM76/AM75*1000</f>
        <v>5671.1763362954598</v>
      </c>
      <c r="AN77" s="77"/>
      <c r="AO77" s="76">
        <f>AO76/AO75*1000</f>
        <v>7999.1805735727512</v>
      </c>
      <c r="AP77" s="76">
        <f>AP76/AP75*1000</f>
        <v>6701.4746275241559</v>
      </c>
      <c r="AQ77" s="77"/>
      <c r="AR77" s="76">
        <f>AR76/AR75*1000</f>
        <v>7670.2272157682655</v>
      </c>
      <c r="AS77" s="76">
        <f>AS76/AS75*1000</f>
        <v>7432.0532354473298</v>
      </c>
      <c r="AT77" s="77"/>
      <c r="AU77" s="76">
        <f>AU76/AU75*1000</f>
        <v>7948.8245104644648</v>
      </c>
      <c r="AV77" s="76">
        <f>AV76/AV75*1000</f>
        <v>6793.090256572902</v>
      </c>
      <c r="AW77" s="77"/>
      <c r="AX77" s="76">
        <f>AX76/AX75*1000</f>
        <v>6437.2480710364653</v>
      </c>
      <c r="AY77" s="76">
        <f>AY76/AY75*1000</f>
        <v>6470.6800069859037</v>
      </c>
      <c r="AZ77" s="77"/>
      <c r="BA77" s="76">
        <f>BA76/BA75*1000</f>
        <v>7722.4167827821102</v>
      </c>
      <c r="BB77" s="76">
        <f>BB76/BB75*1000</f>
        <v>6749.9128169513651</v>
      </c>
      <c r="BC77" s="77"/>
      <c r="BD77" s="76">
        <f>BD76/BD75*1000</f>
        <v>7216.4825232912654</v>
      </c>
      <c r="BE77" s="76">
        <f>BE76/BE75*1000</f>
        <v>6902.8681984720724</v>
      </c>
      <c r="BF77" s="77"/>
      <c r="BG77" s="76">
        <f>BG76/BG75*1000</f>
        <v>7668.7079154960384</v>
      </c>
      <c r="BH77" s="76">
        <f>BH76/BH75*1000</f>
        <v>6766.541445708549</v>
      </c>
      <c r="BI77" s="77"/>
      <c r="BJ77" s="76">
        <f>BJ76/BJ75*1000</f>
        <v>6581.5585688146075</v>
      </c>
      <c r="BK77" s="76">
        <f>BK76/BK75*1000</f>
        <v>6479.1754496813182</v>
      </c>
      <c r="BL77" s="77"/>
      <c r="BM77" s="76">
        <f>BM76/BM75*1000</f>
        <v>7552.2091739682337</v>
      </c>
      <c r="BN77" s="76">
        <f>BN76/BN75*1000</f>
        <v>6733.9211848378973</v>
      </c>
      <c r="BO77" s="77"/>
      <c r="BP77" s="76">
        <f>BP76/BP75*1000</f>
        <v>7815.1667217048671</v>
      </c>
      <c r="BQ77" s="76">
        <f>BQ76/BQ75*1000</f>
        <v>6223.4360703167367</v>
      </c>
      <c r="BR77" s="77"/>
      <c r="BS77" s="76">
        <f>BS76/BS75*1000</f>
        <v>7573.8875051985733</v>
      </c>
      <c r="BT77" s="76">
        <f>BT76/BT75*1000</f>
        <v>6677.4013233579299</v>
      </c>
      <c r="BU77" s="77"/>
      <c r="BV77" s="76">
        <f>BV76/BV75*1000</f>
        <v>7301.8105371459351</v>
      </c>
      <c r="BW77" s="76">
        <f>BW76/BW75*1000</f>
        <v>6909.6992258333812</v>
      </c>
      <c r="BX77" s="77"/>
      <c r="BY77" s="76">
        <f>BY76/BY75*1000</f>
        <v>7552.4014686066503</v>
      </c>
      <c r="BZ77" s="76">
        <f>BZ76/BZ75*1000</f>
        <v>6698.4779301080698</v>
      </c>
      <c r="CA77" s="77"/>
      <c r="CB77" s="108"/>
    </row>
    <row r="78" spans="1:80" s="7" customFormat="1">
      <c r="A78" s="90"/>
      <c r="B78" s="90"/>
      <c r="C78" s="90"/>
      <c r="D78" s="90"/>
      <c r="E78" s="90"/>
      <c r="F78" s="90"/>
      <c r="G78" s="90"/>
      <c r="H78" s="90"/>
      <c r="I78" s="78"/>
      <c r="J78" s="90"/>
      <c r="K78" s="91"/>
      <c r="L78" s="90"/>
      <c r="M78" s="90"/>
      <c r="N78" s="90"/>
      <c r="O78" s="90"/>
      <c r="P78" s="90"/>
      <c r="Q78" s="91"/>
      <c r="R78" s="90"/>
      <c r="S78" s="90"/>
      <c r="T78" s="90"/>
      <c r="U78" s="90"/>
      <c r="V78" s="90"/>
      <c r="W78" s="91"/>
      <c r="X78" s="90"/>
      <c r="Y78" s="90"/>
      <c r="Z78" s="90"/>
      <c r="AA78" s="90"/>
      <c r="AB78" s="90"/>
      <c r="AC78" s="91"/>
      <c r="AD78" s="90"/>
      <c r="AE78" s="90"/>
      <c r="AF78" s="90"/>
      <c r="AG78" s="90"/>
      <c r="AH78" s="90"/>
      <c r="AI78" s="91"/>
      <c r="AJ78" s="90"/>
      <c r="AK78" s="90"/>
      <c r="AL78" s="90"/>
      <c r="AM78" s="90"/>
      <c r="AN78" s="90"/>
      <c r="AO78" s="91"/>
      <c r="AP78" s="90"/>
      <c r="AQ78" s="90"/>
      <c r="AR78" s="90"/>
      <c r="AS78" s="90"/>
      <c r="AT78" s="90"/>
      <c r="AU78" s="91"/>
      <c r="AV78" s="90"/>
      <c r="AW78" s="90"/>
      <c r="AX78" s="90"/>
      <c r="AY78" s="90"/>
      <c r="AZ78" s="90"/>
      <c r="BA78" s="91"/>
      <c r="BB78" s="90"/>
      <c r="BC78" s="90"/>
      <c r="BD78" s="90"/>
      <c r="BE78" s="90"/>
      <c r="BF78" s="90"/>
      <c r="BG78" s="91"/>
      <c r="BH78" s="90"/>
      <c r="BI78" s="90"/>
      <c r="BJ78" s="90"/>
      <c r="BK78" s="90"/>
      <c r="BL78" s="90"/>
      <c r="BM78" s="91"/>
      <c r="BN78" s="90"/>
      <c r="BO78" s="90"/>
      <c r="BP78" s="90"/>
      <c r="BQ78" s="90"/>
      <c r="BR78" s="90"/>
      <c r="BS78" s="91"/>
      <c r="BT78" s="90"/>
      <c r="BU78" s="90"/>
      <c r="BV78" s="90"/>
      <c r="BW78" s="90"/>
      <c r="BX78" s="90"/>
      <c r="BY78" s="91"/>
      <c r="BZ78" s="90"/>
      <c r="CA78" s="90"/>
      <c r="CB78"/>
    </row>
    <row r="79" spans="1:80" s="7" customFormat="1">
      <c r="A79" s="78"/>
      <c r="B79" s="78"/>
      <c r="C79" s="78"/>
      <c r="D79" s="78"/>
      <c r="E79" s="78"/>
      <c r="F79" s="78"/>
      <c r="G79" s="78"/>
      <c r="H79" s="92"/>
      <c r="I79" s="80"/>
      <c r="J79" s="80"/>
      <c r="K79" s="80"/>
      <c r="L79" s="80"/>
      <c r="M79" s="78"/>
      <c r="N79" s="78"/>
      <c r="O79" s="78"/>
      <c r="P79" s="78"/>
      <c r="Q79" s="80"/>
      <c r="R79" s="80"/>
      <c r="S79" s="78"/>
      <c r="T79" s="78"/>
      <c r="U79" s="78"/>
      <c r="V79" s="78"/>
      <c r="W79" s="80"/>
      <c r="X79" s="80"/>
      <c r="Y79" s="78"/>
      <c r="Z79" s="78"/>
      <c r="AA79" s="78"/>
      <c r="AB79" s="78"/>
      <c r="AC79" s="80"/>
      <c r="AD79" s="80"/>
      <c r="AE79" s="78"/>
      <c r="AF79" s="78"/>
      <c r="AG79" s="78"/>
      <c r="AH79" s="78"/>
      <c r="AI79" s="80"/>
      <c r="AJ79" s="80"/>
      <c r="AK79" s="78"/>
      <c r="AL79" s="78"/>
      <c r="AM79" s="78"/>
      <c r="AN79" s="78"/>
      <c r="AO79" s="80"/>
      <c r="AP79" s="80"/>
      <c r="AQ79" s="78"/>
      <c r="AR79" s="78"/>
      <c r="AS79" s="78"/>
      <c r="AT79" s="78"/>
      <c r="AU79" s="80"/>
      <c r="AV79" s="80"/>
      <c r="AW79" s="78"/>
      <c r="AX79" s="78"/>
      <c r="AY79" s="78"/>
      <c r="AZ79" s="78"/>
      <c r="BA79" s="80"/>
      <c r="BB79" s="80"/>
      <c r="BC79" s="78"/>
      <c r="BD79" s="78"/>
      <c r="BE79" s="78"/>
      <c r="BF79" s="78"/>
      <c r="BG79" s="80"/>
      <c r="BH79" s="80"/>
      <c r="BI79" s="78"/>
      <c r="BJ79" s="78"/>
      <c r="BK79" s="78"/>
      <c r="BL79" s="78"/>
      <c r="BM79" s="80"/>
      <c r="BN79" s="80"/>
      <c r="BO79" s="78"/>
      <c r="BP79" s="78"/>
      <c r="BQ79" s="78"/>
      <c r="BR79" s="78"/>
      <c r="BS79" s="80"/>
      <c r="BT79" s="80"/>
      <c r="BU79" s="78"/>
      <c r="BV79" s="78"/>
      <c r="BW79" s="78"/>
      <c r="BX79" s="78"/>
      <c r="BY79" s="80"/>
      <c r="BZ79" s="80"/>
      <c r="CA79" s="78"/>
    </row>
    <row r="80" spans="1:80" s="7" customFormat="1">
      <c r="A80" s="78"/>
      <c r="B80" s="78"/>
      <c r="C80" s="78"/>
      <c r="D80" s="78"/>
      <c r="E80" s="78"/>
      <c r="F80" s="78"/>
      <c r="G80" s="78"/>
      <c r="H80" s="92"/>
      <c r="I80" s="80"/>
      <c r="J80" s="80"/>
      <c r="K80" s="80"/>
      <c r="L80" s="80"/>
      <c r="M80" s="78"/>
      <c r="N80" s="78"/>
      <c r="O80" s="78"/>
      <c r="P80" s="78"/>
      <c r="Q80" s="80"/>
      <c r="R80" s="80"/>
      <c r="S80" s="78"/>
      <c r="T80" s="78"/>
      <c r="U80" s="78"/>
      <c r="V80" s="78"/>
      <c r="W80" s="80"/>
      <c r="X80" s="80"/>
      <c r="Y80" s="78"/>
      <c r="Z80" s="78"/>
      <c r="AA80" s="78"/>
      <c r="AB80" s="78"/>
      <c r="AC80" s="80"/>
      <c r="AD80" s="80"/>
      <c r="AE80" s="78"/>
      <c r="AF80" s="78"/>
      <c r="AG80" s="78"/>
      <c r="AH80" s="78"/>
      <c r="AI80" s="80"/>
      <c r="AJ80" s="80"/>
      <c r="AK80" s="78"/>
      <c r="AL80" s="78"/>
      <c r="AM80" s="78"/>
      <c r="AN80" s="78"/>
      <c r="AO80" s="80"/>
      <c r="AP80" s="80"/>
      <c r="AQ80" s="78"/>
      <c r="AR80" s="78"/>
      <c r="AS80" s="78"/>
      <c r="AT80" s="78"/>
      <c r="AU80" s="80"/>
      <c r="AV80" s="80"/>
      <c r="AW80" s="78"/>
      <c r="AX80" s="78"/>
      <c r="AY80" s="78"/>
      <c r="AZ80" s="78"/>
      <c r="BA80" s="80"/>
      <c r="BB80" s="80"/>
      <c r="BC80" s="78"/>
      <c r="BD80" s="78"/>
      <c r="BE80" s="78"/>
      <c r="BF80" s="78"/>
      <c r="BG80" s="80"/>
      <c r="BH80" s="80"/>
      <c r="BI80" s="78"/>
      <c r="BJ80" s="78"/>
      <c r="BK80" s="78"/>
      <c r="BL80" s="78"/>
      <c r="BM80" s="80"/>
      <c r="BN80" s="80"/>
      <c r="BO80" s="78"/>
      <c r="BP80" s="78"/>
      <c r="BQ80" s="78"/>
      <c r="BR80" s="78"/>
      <c r="BS80" s="80"/>
      <c r="BT80" s="80"/>
      <c r="BU80" s="78"/>
      <c r="BV80" s="78"/>
      <c r="BW80" s="78"/>
      <c r="BX80" s="78"/>
      <c r="BY80" s="80"/>
      <c r="BZ80" s="80"/>
      <c r="CA80" s="78"/>
    </row>
    <row r="81" spans="1:79" s="7" customFormat="1">
      <c r="A81" s="78"/>
      <c r="B81" s="78"/>
      <c r="C81" s="78"/>
      <c r="D81" s="78"/>
      <c r="E81" s="78"/>
      <c r="F81" s="78"/>
      <c r="G81" s="78"/>
      <c r="H81" s="78"/>
      <c r="I81" s="80"/>
      <c r="J81" s="80"/>
      <c r="K81" s="11"/>
      <c r="L81" s="11"/>
      <c r="M81" s="78"/>
      <c r="N81" s="78"/>
      <c r="O81" s="78"/>
      <c r="P81" s="78"/>
      <c r="Q81" s="80"/>
      <c r="R81" s="80"/>
      <c r="S81" s="78"/>
      <c r="T81" s="78"/>
      <c r="U81" s="78"/>
      <c r="V81" s="78"/>
      <c r="W81" s="80"/>
      <c r="X81" s="80"/>
      <c r="Y81" s="78"/>
      <c r="Z81" s="78"/>
      <c r="AA81" s="78"/>
      <c r="AB81" s="78"/>
      <c r="AC81" s="80"/>
      <c r="AD81" s="80"/>
      <c r="AE81" s="78"/>
      <c r="AF81" s="78"/>
      <c r="AG81" s="78"/>
      <c r="AH81" s="78"/>
      <c r="AI81" s="80"/>
      <c r="AJ81" s="80"/>
      <c r="AK81" s="78"/>
      <c r="AL81" s="78"/>
      <c r="AM81" s="78"/>
      <c r="AN81" s="78"/>
      <c r="AO81" s="80"/>
      <c r="AP81" s="80"/>
      <c r="AQ81" s="78"/>
      <c r="AR81" s="78"/>
      <c r="AS81" s="78"/>
      <c r="AT81" s="78"/>
      <c r="AU81" s="80"/>
      <c r="AV81" s="80"/>
      <c r="AW81" s="78"/>
      <c r="AX81" s="78"/>
      <c r="AY81" s="78"/>
      <c r="AZ81" s="78"/>
      <c r="BA81" s="80"/>
      <c r="BB81" s="80"/>
      <c r="BC81" s="78"/>
      <c r="BD81" s="78"/>
      <c r="BE81" s="78"/>
      <c r="BF81" s="78"/>
      <c r="BG81" s="80"/>
      <c r="BH81" s="80"/>
      <c r="BI81" s="78"/>
      <c r="BJ81" s="78"/>
      <c r="BK81" s="78"/>
      <c r="BL81" s="78"/>
      <c r="BM81" s="80"/>
      <c r="BN81" s="80"/>
      <c r="BO81" s="78"/>
      <c r="BP81" s="78"/>
      <c r="BQ81" s="78"/>
      <c r="BR81" s="78"/>
      <c r="BS81" s="80"/>
      <c r="BT81" s="80"/>
      <c r="BU81" s="78"/>
      <c r="BV81" s="78"/>
      <c r="BW81" s="78"/>
      <c r="BX81" s="78"/>
      <c r="BY81" s="80"/>
      <c r="BZ81" s="80"/>
      <c r="CA81" s="78"/>
    </row>
    <row r="82" spans="1:79" s="7" customFormat="1">
      <c r="A82" s="78"/>
      <c r="B82" s="78"/>
      <c r="C82" s="78"/>
      <c r="D82" s="78"/>
      <c r="E82" s="78"/>
      <c r="F82" s="78"/>
      <c r="G82" s="78"/>
      <c r="H82" s="91"/>
      <c r="I82" s="80"/>
      <c r="J82" s="80"/>
      <c r="K82" s="80"/>
      <c r="L82" s="80"/>
      <c r="M82" s="78"/>
      <c r="N82" s="78"/>
      <c r="O82" s="78"/>
      <c r="P82" s="78"/>
      <c r="Q82" s="80"/>
      <c r="R82" s="80"/>
      <c r="S82" s="78"/>
      <c r="T82" s="78"/>
      <c r="U82" s="78"/>
      <c r="V82" s="78"/>
      <c r="W82" s="80"/>
      <c r="X82" s="80"/>
      <c r="Y82" s="78"/>
      <c r="Z82" s="78"/>
      <c r="AA82" s="78"/>
      <c r="AB82" s="78"/>
      <c r="AC82" s="80"/>
      <c r="AD82" s="80"/>
      <c r="AE82" s="78"/>
      <c r="AF82" s="78"/>
      <c r="AG82" s="78"/>
      <c r="AH82" s="78"/>
      <c r="AI82" s="80"/>
      <c r="AJ82" s="80"/>
      <c r="AK82" s="78"/>
      <c r="AL82" s="78"/>
      <c r="AM82" s="78"/>
      <c r="AN82" s="78"/>
      <c r="AO82" s="80"/>
      <c r="AP82" s="80"/>
      <c r="AQ82" s="78"/>
      <c r="AR82" s="78"/>
      <c r="AS82" s="78"/>
      <c r="AT82" s="78"/>
      <c r="AU82" s="80"/>
      <c r="AV82" s="80"/>
      <c r="AW82" s="78"/>
      <c r="AX82" s="78"/>
      <c r="AY82" s="78"/>
      <c r="AZ82" s="78"/>
      <c r="BA82" s="80"/>
      <c r="BB82" s="80"/>
      <c r="BC82" s="78"/>
      <c r="BD82" s="78"/>
      <c r="BE82" s="78"/>
      <c r="BF82" s="78"/>
      <c r="BG82" s="80"/>
      <c r="BH82" s="80"/>
      <c r="BI82" s="78"/>
      <c r="BJ82" s="78"/>
      <c r="BK82" s="78"/>
      <c r="BL82" s="78"/>
      <c r="BM82" s="80"/>
      <c r="BN82" s="80"/>
      <c r="BO82" s="78"/>
      <c r="BP82" s="78"/>
      <c r="BQ82" s="78"/>
      <c r="BR82" s="78"/>
      <c r="BS82" s="80"/>
      <c r="BT82" s="80"/>
      <c r="BU82" s="78"/>
      <c r="BV82" s="78"/>
      <c r="BW82" s="78"/>
      <c r="BX82" s="78"/>
      <c r="BY82" s="80"/>
      <c r="BZ82" s="80"/>
      <c r="CA82" s="78"/>
    </row>
    <row r="83" spans="1:79" s="7" customFormat="1">
      <c r="A83" s="78"/>
      <c r="B83" s="78"/>
      <c r="C83" s="78"/>
      <c r="D83" s="78"/>
      <c r="E83" s="78"/>
      <c r="F83" s="78"/>
      <c r="G83" s="78"/>
      <c r="H83" s="91"/>
      <c r="I83" s="80"/>
      <c r="J83" s="80"/>
      <c r="K83" s="80"/>
      <c r="L83" s="80"/>
      <c r="M83" s="78"/>
      <c r="N83" s="78"/>
      <c r="O83" s="78"/>
      <c r="P83" s="78"/>
      <c r="Q83" s="80"/>
      <c r="R83" s="80"/>
      <c r="S83" s="78"/>
      <c r="T83" s="78"/>
      <c r="U83" s="78"/>
      <c r="V83" s="78"/>
      <c r="W83" s="80"/>
      <c r="X83" s="80"/>
      <c r="Y83" s="78"/>
      <c r="Z83" s="78"/>
      <c r="AA83" s="78"/>
      <c r="AB83" s="78"/>
      <c r="AC83" s="80"/>
      <c r="AD83" s="80"/>
      <c r="AE83" s="78"/>
      <c r="AF83" s="78"/>
      <c r="AG83" s="78"/>
      <c r="AH83" s="78"/>
      <c r="AI83" s="80"/>
      <c r="AJ83" s="80"/>
      <c r="AK83" s="78"/>
      <c r="AL83" s="78"/>
      <c r="AM83" s="78"/>
      <c r="AN83" s="78"/>
      <c r="AO83" s="80"/>
      <c r="AP83" s="80"/>
      <c r="AQ83" s="78"/>
      <c r="AR83" s="78"/>
      <c r="AS83" s="78"/>
      <c r="AT83" s="78"/>
      <c r="AU83" s="80"/>
      <c r="AV83" s="80"/>
      <c r="AW83" s="78"/>
      <c r="AX83" s="78"/>
      <c r="AY83" s="78"/>
      <c r="AZ83" s="78"/>
      <c r="BA83" s="80"/>
      <c r="BB83" s="80"/>
      <c r="BC83" s="78"/>
      <c r="BD83" s="78"/>
      <c r="BE83" s="78"/>
      <c r="BF83" s="78"/>
      <c r="BG83" s="80"/>
      <c r="BH83" s="80"/>
      <c r="BI83" s="78"/>
      <c r="BJ83" s="78"/>
      <c r="BK83" s="78"/>
      <c r="BL83" s="78"/>
      <c r="BM83" s="80"/>
      <c r="BN83" s="80"/>
      <c r="BO83" s="78"/>
      <c r="BP83" s="78"/>
      <c r="BQ83" s="78"/>
      <c r="BR83" s="78"/>
      <c r="BS83" s="80"/>
      <c r="BT83" s="80"/>
      <c r="BU83" s="78"/>
      <c r="BV83" s="78"/>
      <c r="BW83" s="78"/>
      <c r="BX83" s="78"/>
      <c r="BY83" s="80"/>
      <c r="BZ83" s="80"/>
      <c r="CA83" s="78"/>
    </row>
    <row r="84" spans="1:79" s="7" customFormat="1">
      <c r="A84" s="78"/>
      <c r="B84" s="78"/>
      <c r="C84" s="78"/>
      <c r="D84" s="78"/>
      <c r="E84" s="78"/>
      <c r="F84" s="78"/>
      <c r="G84" s="78"/>
      <c r="H84" s="78"/>
      <c r="I84" s="80"/>
      <c r="J84" s="80"/>
      <c r="K84" s="80"/>
      <c r="L84" s="80"/>
      <c r="M84" s="78"/>
      <c r="N84" s="78"/>
      <c r="O84" s="78"/>
      <c r="P84" s="78"/>
      <c r="Q84" s="80"/>
      <c r="R84" s="80"/>
      <c r="S84" s="78"/>
      <c r="T84" s="78"/>
      <c r="U84" s="78"/>
      <c r="V84" s="78"/>
      <c r="W84" s="80"/>
      <c r="X84" s="80"/>
      <c r="Y84" s="78"/>
      <c r="Z84" s="78"/>
      <c r="AA84" s="78"/>
      <c r="AB84" s="78"/>
      <c r="AC84" s="80"/>
      <c r="AD84" s="80"/>
      <c r="AE84" s="78"/>
      <c r="AF84" s="78"/>
      <c r="AG84" s="78"/>
      <c r="AH84" s="78"/>
      <c r="AI84" s="80"/>
      <c r="AJ84" s="80"/>
      <c r="AK84" s="78"/>
      <c r="AL84" s="78"/>
      <c r="AM84" s="78"/>
      <c r="AN84" s="78"/>
      <c r="AO84" s="80"/>
      <c r="AP84" s="80"/>
      <c r="AQ84" s="78"/>
      <c r="AR84" s="78"/>
      <c r="AS84" s="78"/>
      <c r="AT84" s="78"/>
      <c r="AU84" s="80"/>
      <c r="AV84" s="80"/>
      <c r="AW84" s="78"/>
      <c r="AX84" s="78"/>
      <c r="AY84" s="78"/>
      <c r="AZ84" s="78"/>
      <c r="BA84" s="80"/>
      <c r="BB84" s="80"/>
      <c r="BC84" s="78"/>
      <c r="BD84" s="78"/>
      <c r="BE84" s="78"/>
      <c r="BF84" s="78"/>
      <c r="BG84" s="80"/>
      <c r="BH84" s="80"/>
      <c r="BI84" s="78"/>
      <c r="BJ84" s="78"/>
      <c r="BK84" s="78"/>
      <c r="BL84" s="78"/>
      <c r="BM84" s="80"/>
      <c r="BN84" s="80"/>
      <c r="BO84" s="78"/>
      <c r="BP84" s="78"/>
      <c r="BQ84" s="78"/>
      <c r="BR84" s="78"/>
      <c r="BS84" s="80"/>
      <c r="BT84" s="80"/>
      <c r="BU84" s="78"/>
      <c r="BV84" s="78"/>
      <c r="BW84" s="78"/>
      <c r="BX84" s="78"/>
      <c r="BY84" s="80"/>
      <c r="BZ84" s="80"/>
      <c r="CA84" s="78"/>
    </row>
    <row r="85" spans="1:79" s="7" customFormat="1">
      <c r="A85" s="78"/>
      <c r="B85" s="78"/>
      <c r="C85" s="78"/>
      <c r="D85" s="78"/>
      <c r="E85" s="78"/>
      <c r="F85" s="78"/>
      <c r="G85" s="78"/>
      <c r="H85" s="92"/>
      <c r="I85" s="80"/>
      <c r="J85" s="80"/>
      <c r="K85" s="80"/>
      <c r="L85" s="80"/>
      <c r="M85" s="78"/>
      <c r="N85" s="78"/>
      <c r="O85" s="78"/>
      <c r="P85" s="78"/>
      <c r="Q85" s="80"/>
      <c r="R85" s="80"/>
      <c r="S85" s="78"/>
      <c r="T85" s="78"/>
      <c r="U85" s="78"/>
      <c r="V85" s="78"/>
      <c r="W85" s="80"/>
      <c r="X85" s="80"/>
      <c r="Y85" s="78"/>
      <c r="Z85" s="78"/>
      <c r="AA85" s="78"/>
      <c r="AB85" s="78"/>
      <c r="AC85" s="80"/>
      <c r="AD85" s="80"/>
      <c r="AE85" s="78"/>
      <c r="AF85" s="78"/>
      <c r="AG85" s="78"/>
      <c r="AH85" s="78"/>
      <c r="AI85" s="80"/>
      <c r="AJ85" s="80"/>
      <c r="AK85" s="78"/>
      <c r="AL85" s="78"/>
      <c r="AM85" s="78"/>
      <c r="AN85" s="78"/>
      <c r="AO85" s="80"/>
      <c r="AP85" s="80"/>
      <c r="AQ85" s="78"/>
      <c r="AR85" s="78"/>
      <c r="AS85" s="78"/>
      <c r="AT85" s="78"/>
      <c r="AU85" s="80"/>
      <c r="AV85" s="80"/>
      <c r="AW85" s="78"/>
      <c r="AX85" s="78"/>
      <c r="AY85" s="78"/>
      <c r="AZ85" s="78"/>
      <c r="BA85" s="80"/>
      <c r="BB85" s="80"/>
      <c r="BC85" s="78"/>
      <c r="BD85" s="78"/>
      <c r="BE85" s="78"/>
      <c r="BF85" s="78"/>
      <c r="BG85" s="80"/>
      <c r="BH85" s="80"/>
      <c r="BI85" s="78"/>
      <c r="BJ85" s="78"/>
      <c r="BK85" s="78"/>
      <c r="BL85" s="78"/>
      <c r="BM85" s="80"/>
      <c r="BN85" s="80"/>
      <c r="BO85" s="78"/>
      <c r="BP85" s="78"/>
      <c r="BQ85" s="78"/>
      <c r="BR85" s="78"/>
      <c r="BS85" s="80"/>
      <c r="BT85" s="80"/>
      <c r="BU85" s="78"/>
      <c r="BV85" s="78"/>
      <c r="BW85" s="78"/>
      <c r="BX85" s="78"/>
      <c r="BY85" s="80"/>
      <c r="BZ85" s="80"/>
      <c r="CA85" s="78"/>
    </row>
    <row r="86" spans="1:79">
      <c r="A86" s="78"/>
      <c r="B86" s="78"/>
      <c r="C86" s="78"/>
      <c r="D86" s="78"/>
      <c r="E86" s="78"/>
      <c r="F86" s="78"/>
      <c r="G86" s="78"/>
      <c r="H86" s="92"/>
      <c r="I86" s="80"/>
      <c r="J86" s="80"/>
      <c r="K86" s="80"/>
      <c r="L86" s="80"/>
      <c r="M86" s="78"/>
      <c r="N86" s="78"/>
      <c r="O86" s="78"/>
      <c r="P86" s="78"/>
      <c r="Q86" s="80"/>
      <c r="R86" s="80"/>
      <c r="S86" s="78"/>
      <c r="T86" s="78"/>
      <c r="U86" s="78"/>
      <c r="V86" s="78"/>
      <c r="W86" s="80"/>
      <c r="X86" s="80"/>
      <c r="Y86" s="78"/>
      <c r="Z86" s="78"/>
      <c r="AA86" s="78"/>
      <c r="AB86" s="78"/>
      <c r="AC86" s="80"/>
      <c r="AD86" s="80"/>
      <c r="AE86" s="78"/>
      <c r="AF86" s="78"/>
      <c r="AG86" s="78"/>
      <c r="AH86" s="78"/>
      <c r="AI86" s="80"/>
      <c r="AJ86" s="80"/>
      <c r="AK86" s="78"/>
      <c r="AL86" s="78"/>
      <c r="AM86" s="78"/>
      <c r="AN86" s="78"/>
      <c r="AO86" s="80"/>
      <c r="AP86" s="80"/>
      <c r="AQ86" s="78"/>
      <c r="AR86" s="78"/>
      <c r="AS86" s="78"/>
      <c r="AT86" s="78"/>
      <c r="AU86" s="80"/>
      <c r="AV86" s="80"/>
      <c r="AW86" s="78"/>
      <c r="AX86" s="78"/>
      <c r="AY86" s="78"/>
      <c r="AZ86" s="78"/>
      <c r="BA86" s="80"/>
      <c r="BB86" s="80"/>
      <c r="BC86" s="78"/>
      <c r="BD86" s="78"/>
      <c r="BE86" s="78"/>
      <c r="BF86" s="78"/>
      <c r="BG86" s="80"/>
      <c r="BH86" s="80"/>
      <c r="BI86" s="78"/>
      <c r="BJ86" s="78"/>
      <c r="BK86" s="78"/>
      <c r="BL86" s="78"/>
      <c r="BM86" s="80"/>
      <c r="BN86" s="80"/>
      <c r="BO86" s="78"/>
      <c r="BP86" s="78"/>
      <c r="BQ86" s="78"/>
      <c r="BR86" s="78"/>
      <c r="BS86" s="80"/>
      <c r="BT86" s="80"/>
      <c r="BU86" s="78"/>
      <c r="BV86" s="78"/>
      <c r="BW86" s="78"/>
      <c r="BX86" s="78"/>
      <c r="BY86" s="80"/>
      <c r="BZ86" s="80"/>
      <c r="CA86" s="78"/>
    </row>
    <row r="87" spans="1:79">
      <c r="A87" s="78"/>
      <c r="B87" s="78"/>
      <c r="C87" s="78"/>
      <c r="D87" s="78"/>
      <c r="E87" s="78"/>
      <c r="F87" s="78"/>
      <c r="G87" s="78"/>
      <c r="H87" s="91"/>
      <c r="I87" s="80"/>
      <c r="J87" s="80"/>
      <c r="K87" s="11"/>
      <c r="L87" s="11"/>
      <c r="M87" s="78"/>
      <c r="N87" s="78"/>
      <c r="O87" s="78"/>
      <c r="P87" s="78"/>
      <c r="Q87" s="80"/>
      <c r="R87" s="80"/>
      <c r="S87" s="78"/>
      <c r="T87" s="78"/>
      <c r="U87" s="78"/>
      <c r="V87" s="78"/>
      <c r="W87" s="80"/>
      <c r="X87" s="80"/>
      <c r="Y87" s="78"/>
      <c r="Z87" s="78"/>
      <c r="AA87" s="78"/>
      <c r="AB87" s="78"/>
      <c r="AC87" s="80"/>
      <c r="AD87" s="80"/>
      <c r="AE87" s="78"/>
      <c r="AF87" s="78"/>
      <c r="AG87" s="78"/>
      <c r="AH87" s="78"/>
      <c r="AI87" s="80"/>
      <c r="AJ87" s="80"/>
      <c r="AK87" s="78"/>
      <c r="AL87" s="78"/>
      <c r="AM87" s="78"/>
      <c r="AN87" s="78"/>
      <c r="AO87" s="80"/>
      <c r="AP87" s="80"/>
      <c r="AQ87" s="78"/>
      <c r="AR87" s="78"/>
      <c r="AS87" s="78"/>
      <c r="AT87" s="78"/>
      <c r="AU87" s="80"/>
      <c r="AV87" s="80"/>
      <c r="AW87" s="78"/>
      <c r="AX87" s="78"/>
      <c r="AY87" s="78"/>
      <c r="AZ87" s="78"/>
      <c r="BA87" s="80"/>
      <c r="BB87" s="80"/>
      <c r="BC87" s="78"/>
      <c r="BD87" s="78"/>
      <c r="BE87" s="78"/>
      <c r="BF87" s="78"/>
      <c r="BG87" s="80"/>
      <c r="BH87" s="80"/>
      <c r="BI87" s="78"/>
      <c r="BJ87" s="78"/>
      <c r="BK87" s="78"/>
      <c r="BL87" s="78"/>
      <c r="BM87" s="80"/>
      <c r="BN87" s="80"/>
      <c r="BO87" s="78"/>
      <c r="BP87" s="78"/>
      <c r="BQ87" s="78"/>
      <c r="BR87" s="78"/>
      <c r="BS87" s="80"/>
      <c r="BT87" s="80"/>
      <c r="BU87" s="78"/>
      <c r="BV87" s="78"/>
      <c r="BW87" s="78"/>
      <c r="BX87" s="78"/>
      <c r="BY87" s="80"/>
      <c r="BZ87" s="80"/>
      <c r="CA87" s="78"/>
    </row>
    <row r="88" spans="1:79">
      <c r="A88" s="78"/>
      <c r="B88" s="78"/>
      <c r="C88" s="78"/>
      <c r="D88" s="78"/>
      <c r="E88" s="78"/>
      <c r="F88" s="78"/>
      <c r="G88" s="78"/>
      <c r="H88" s="91"/>
      <c r="I88" s="80"/>
      <c r="J88" s="80"/>
      <c r="K88" s="11"/>
      <c r="L88" s="11"/>
      <c r="M88" s="78"/>
      <c r="N88" s="78"/>
      <c r="O88" s="78"/>
      <c r="P88" s="78"/>
      <c r="Q88" s="80"/>
      <c r="R88" s="80"/>
      <c r="S88" s="78"/>
      <c r="T88" s="78"/>
      <c r="U88" s="78"/>
      <c r="V88" s="78"/>
      <c r="W88" s="80"/>
      <c r="X88" s="80"/>
      <c r="Y88" s="78"/>
      <c r="Z88" s="78"/>
      <c r="AA88" s="78"/>
      <c r="AB88" s="78"/>
      <c r="AC88" s="80"/>
      <c r="AD88" s="80"/>
      <c r="AE88" s="78"/>
      <c r="AF88" s="78"/>
      <c r="AG88" s="78"/>
      <c r="AH88" s="78"/>
      <c r="AI88" s="80"/>
      <c r="AJ88" s="80"/>
      <c r="AK88" s="78"/>
      <c r="AL88" s="78"/>
      <c r="AM88" s="78"/>
      <c r="AN88" s="78"/>
      <c r="AO88" s="80"/>
      <c r="AP88" s="80"/>
      <c r="AQ88" s="78"/>
      <c r="AR88" s="78"/>
      <c r="AS88" s="78"/>
      <c r="AT88" s="78"/>
      <c r="AU88" s="80"/>
      <c r="AV88" s="80"/>
      <c r="AW88" s="78"/>
      <c r="AX88" s="78"/>
      <c r="AY88" s="78"/>
      <c r="AZ88" s="78"/>
      <c r="BA88" s="80"/>
      <c r="BB88" s="80"/>
      <c r="BC88" s="78"/>
      <c r="BD88" s="78"/>
      <c r="BE88" s="78"/>
      <c r="BF88" s="78"/>
      <c r="BG88" s="80"/>
      <c r="BH88" s="80"/>
      <c r="BI88" s="78"/>
      <c r="BJ88" s="78"/>
      <c r="BK88" s="78"/>
      <c r="BL88" s="78"/>
      <c r="BM88" s="80"/>
      <c r="BN88" s="80"/>
      <c r="BO88" s="78"/>
      <c r="BP88" s="78"/>
      <c r="BQ88" s="78"/>
      <c r="BR88" s="78"/>
      <c r="BS88" s="80"/>
      <c r="BT88" s="80"/>
      <c r="BU88" s="78"/>
      <c r="BV88" s="78"/>
      <c r="BW88" s="78"/>
      <c r="BX88" s="78"/>
      <c r="BY88" s="80"/>
      <c r="BZ88" s="80"/>
      <c r="CA88" s="78"/>
    </row>
    <row r="89" spans="1:79">
      <c r="A89" s="78"/>
      <c r="B89" s="78"/>
      <c r="C89" s="78"/>
      <c r="D89" s="78"/>
      <c r="E89" s="78"/>
      <c r="F89" s="78"/>
      <c r="G89" s="78"/>
      <c r="H89" s="91"/>
      <c r="I89" s="80"/>
      <c r="J89" s="80"/>
      <c r="K89" s="11"/>
      <c r="L89" s="11"/>
      <c r="M89" s="78"/>
      <c r="N89" s="78"/>
      <c r="O89" s="78"/>
      <c r="P89" s="78"/>
      <c r="Q89" s="80"/>
      <c r="R89" s="80"/>
      <c r="S89" s="78"/>
      <c r="T89" s="78"/>
      <c r="U89" s="78"/>
      <c r="V89" s="78"/>
      <c r="W89" s="80"/>
      <c r="X89" s="80"/>
      <c r="Y89" s="78"/>
      <c r="Z89" s="78"/>
      <c r="AA89" s="78"/>
      <c r="AB89" s="78"/>
      <c r="AC89" s="80"/>
      <c r="AD89" s="80"/>
      <c r="AE89" s="78"/>
      <c r="AF89" s="78"/>
      <c r="AG89" s="78"/>
      <c r="AH89" s="78"/>
      <c r="AI89" s="80"/>
      <c r="AJ89" s="80"/>
      <c r="AK89" s="78"/>
      <c r="AL89" s="78"/>
      <c r="AM89" s="78"/>
      <c r="AN89" s="78"/>
      <c r="AO89" s="80"/>
      <c r="AP89" s="80"/>
      <c r="AQ89" s="78"/>
      <c r="AR89" s="78"/>
      <c r="AS89" s="78"/>
      <c r="AT89" s="78"/>
      <c r="AU89" s="80"/>
      <c r="AV89" s="80"/>
      <c r="AW89" s="78"/>
      <c r="AX89" s="78"/>
      <c r="AY89" s="78"/>
      <c r="AZ89" s="78"/>
      <c r="BA89" s="80"/>
      <c r="BB89" s="80"/>
      <c r="BC89" s="78"/>
      <c r="BD89" s="78"/>
      <c r="BE89" s="78"/>
      <c r="BF89" s="78"/>
      <c r="BG89" s="80"/>
      <c r="BH89" s="80"/>
      <c r="BI89" s="78"/>
      <c r="BJ89" s="78"/>
      <c r="BK89" s="78"/>
      <c r="BL89" s="78"/>
      <c r="BM89" s="80"/>
      <c r="BN89" s="80"/>
      <c r="BO89" s="78"/>
      <c r="BP89" s="78"/>
      <c r="BQ89" s="78"/>
      <c r="BR89" s="78"/>
      <c r="BS89" s="80"/>
      <c r="BT89" s="80"/>
      <c r="BU89" s="78"/>
      <c r="BV89" s="78"/>
      <c r="BW89" s="78"/>
      <c r="BX89" s="78"/>
      <c r="BY89" s="80"/>
      <c r="BZ89" s="80"/>
      <c r="CA89" s="78"/>
    </row>
    <row r="90" spans="1:79">
      <c r="A90" s="78"/>
      <c r="B90" s="78"/>
      <c r="C90" s="78"/>
      <c r="D90" s="78"/>
      <c r="E90" s="78"/>
      <c r="F90" s="78"/>
      <c r="G90" s="78"/>
      <c r="H90" s="78"/>
      <c r="I90" s="80"/>
      <c r="J90" s="80"/>
      <c r="K90" s="11"/>
      <c r="L90" s="11"/>
      <c r="M90" s="78"/>
      <c r="N90" s="78"/>
      <c r="O90" s="78"/>
      <c r="P90" s="78"/>
      <c r="Q90" s="80"/>
      <c r="R90" s="80"/>
      <c r="S90" s="78"/>
      <c r="T90" s="78"/>
      <c r="U90" s="78"/>
      <c r="V90" s="78"/>
      <c r="W90" s="80"/>
      <c r="X90" s="80"/>
      <c r="Y90" s="78"/>
      <c r="Z90" s="78"/>
      <c r="AA90" s="78"/>
      <c r="AB90" s="78"/>
      <c r="AC90" s="80"/>
      <c r="AD90" s="80"/>
      <c r="AE90" s="78"/>
      <c r="AF90" s="78"/>
      <c r="AG90" s="78"/>
      <c r="AH90" s="78"/>
      <c r="AI90" s="80"/>
      <c r="AJ90" s="80"/>
      <c r="AK90" s="78"/>
      <c r="AL90" s="78"/>
      <c r="AM90" s="78"/>
      <c r="AN90" s="78"/>
      <c r="AO90" s="80"/>
      <c r="AP90" s="80"/>
      <c r="AQ90" s="78"/>
      <c r="AR90" s="78"/>
      <c r="AS90" s="78"/>
      <c r="AT90" s="78"/>
      <c r="AU90" s="80"/>
      <c r="AV90" s="80"/>
      <c r="AW90" s="78"/>
      <c r="AX90" s="78"/>
      <c r="AY90" s="78"/>
      <c r="AZ90" s="78"/>
      <c r="BA90" s="80"/>
      <c r="BB90" s="80"/>
      <c r="BC90" s="78"/>
      <c r="BD90" s="78"/>
      <c r="BE90" s="78"/>
      <c r="BF90" s="78"/>
      <c r="BG90" s="80"/>
      <c r="BH90" s="80"/>
      <c r="BI90" s="78"/>
      <c r="BJ90" s="78"/>
      <c r="BK90" s="78"/>
      <c r="BL90" s="78"/>
      <c r="BM90" s="80"/>
      <c r="BN90" s="80"/>
      <c r="BO90" s="78"/>
      <c r="BP90" s="78"/>
      <c r="BQ90" s="78"/>
      <c r="BR90" s="78"/>
      <c r="BS90" s="80"/>
      <c r="BT90" s="80"/>
      <c r="BU90" s="78"/>
      <c r="BV90" s="78"/>
      <c r="BW90" s="78"/>
      <c r="BX90" s="78"/>
      <c r="BY90" s="80"/>
      <c r="BZ90" s="80"/>
      <c r="CA90" s="78"/>
    </row>
    <row r="91" spans="1:79">
      <c r="A91" s="78"/>
      <c r="B91" s="78"/>
      <c r="C91" s="78"/>
      <c r="D91" s="78"/>
      <c r="E91" s="78"/>
      <c r="F91" s="78"/>
      <c r="G91" s="78"/>
      <c r="H91" s="92"/>
      <c r="I91" s="80"/>
      <c r="J91" s="80"/>
      <c r="K91" s="11"/>
      <c r="L91" s="11"/>
      <c r="M91" s="78"/>
      <c r="N91" s="78"/>
      <c r="O91" s="78"/>
      <c r="P91" s="78"/>
      <c r="Q91" s="80"/>
      <c r="R91" s="80"/>
      <c r="S91" s="78"/>
      <c r="T91" s="78"/>
      <c r="U91" s="78"/>
      <c r="V91" s="78"/>
      <c r="W91" s="80"/>
      <c r="X91" s="80"/>
      <c r="Y91" s="78"/>
      <c r="Z91" s="78"/>
      <c r="AA91" s="78"/>
      <c r="AB91" s="78"/>
      <c r="AC91" s="80"/>
      <c r="AD91" s="80"/>
      <c r="AE91" s="78"/>
      <c r="AF91" s="78"/>
      <c r="AG91" s="78"/>
      <c r="AH91" s="78"/>
      <c r="AI91" s="80"/>
      <c r="AJ91" s="80"/>
      <c r="AK91" s="78"/>
      <c r="AL91" s="78"/>
      <c r="AM91" s="78"/>
      <c r="AN91" s="78"/>
      <c r="AO91" s="80"/>
      <c r="AP91" s="80"/>
      <c r="AQ91" s="78"/>
      <c r="AR91" s="78"/>
      <c r="AS91" s="78"/>
      <c r="AT91" s="78"/>
      <c r="AU91" s="80"/>
      <c r="AV91" s="80"/>
      <c r="AW91" s="78"/>
      <c r="AX91" s="78"/>
      <c r="AY91" s="78"/>
      <c r="AZ91" s="78"/>
      <c r="BA91" s="80"/>
      <c r="BB91" s="80"/>
      <c r="BC91" s="78"/>
      <c r="BD91" s="78"/>
      <c r="BE91" s="78"/>
      <c r="BF91" s="78"/>
      <c r="BG91" s="80"/>
      <c r="BH91" s="80"/>
      <c r="BI91" s="78"/>
      <c r="BJ91" s="78"/>
      <c r="BK91" s="78"/>
      <c r="BL91" s="78"/>
      <c r="BM91" s="80"/>
      <c r="BN91" s="80"/>
      <c r="BO91" s="78"/>
      <c r="BP91" s="78"/>
      <c r="BQ91" s="78"/>
      <c r="BR91" s="78"/>
      <c r="BS91" s="80"/>
      <c r="BT91" s="80"/>
      <c r="BU91" s="78"/>
      <c r="BV91" s="78"/>
      <c r="BW91" s="78"/>
      <c r="BX91" s="78"/>
      <c r="BY91" s="80"/>
      <c r="BZ91" s="80"/>
      <c r="CA91" s="78"/>
    </row>
    <row r="92" spans="1:79">
      <c r="A92" s="78"/>
      <c r="B92" s="78"/>
      <c r="C92" s="78"/>
      <c r="D92" s="78"/>
      <c r="E92" s="78"/>
      <c r="F92" s="78"/>
      <c r="G92" s="78"/>
      <c r="H92" s="78"/>
      <c r="I92" s="80"/>
      <c r="J92" s="80"/>
      <c r="K92" s="11"/>
      <c r="L92" s="11"/>
      <c r="M92" s="78"/>
      <c r="N92" s="78"/>
      <c r="O92" s="78"/>
      <c r="P92" s="78"/>
      <c r="Q92" s="80"/>
      <c r="R92" s="80"/>
      <c r="S92" s="78"/>
      <c r="T92" s="78"/>
      <c r="U92" s="78"/>
      <c r="V92" s="78"/>
      <c r="W92" s="80"/>
      <c r="X92" s="80"/>
      <c r="Y92" s="78"/>
      <c r="Z92" s="78"/>
      <c r="AA92" s="78"/>
      <c r="AB92" s="78"/>
      <c r="AC92" s="80"/>
      <c r="AD92" s="80"/>
      <c r="AE92" s="78"/>
      <c r="AF92" s="78"/>
      <c r="AG92" s="78"/>
      <c r="AH92" s="78"/>
      <c r="AI92" s="80"/>
      <c r="AJ92" s="80"/>
      <c r="AK92" s="78"/>
      <c r="AL92" s="78"/>
      <c r="AM92" s="78"/>
      <c r="AN92" s="78"/>
      <c r="AO92" s="80"/>
      <c r="AP92" s="80"/>
      <c r="AQ92" s="78"/>
      <c r="AR92" s="78"/>
      <c r="AS92" s="78"/>
      <c r="AT92" s="78"/>
      <c r="AU92" s="80"/>
      <c r="AV92" s="80"/>
      <c r="AW92" s="78"/>
      <c r="AX92" s="78"/>
      <c r="AY92" s="78"/>
      <c r="AZ92" s="78"/>
      <c r="BA92" s="80"/>
      <c r="BB92" s="80"/>
      <c r="BC92" s="78"/>
      <c r="BD92" s="78"/>
      <c r="BE92" s="78"/>
      <c r="BF92" s="78"/>
      <c r="BG92" s="80"/>
      <c r="BH92" s="80"/>
      <c r="BI92" s="78"/>
      <c r="BJ92" s="78"/>
      <c r="BK92" s="78"/>
      <c r="BL92" s="78"/>
      <c r="BM92" s="80"/>
      <c r="BN92" s="80"/>
      <c r="BO92" s="78"/>
      <c r="BP92" s="78"/>
      <c r="BQ92" s="78"/>
      <c r="BR92" s="78"/>
      <c r="BS92" s="80"/>
      <c r="BT92" s="80"/>
      <c r="BU92" s="78"/>
      <c r="BV92" s="78"/>
      <c r="BW92" s="78"/>
      <c r="BX92" s="78"/>
      <c r="BY92" s="80"/>
      <c r="BZ92" s="80"/>
      <c r="CA92" s="78"/>
    </row>
    <row r="93" spans="1:79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9"/>
      <c r="M93" s="8"/>
      <c r="N93" s="8"/>
      <c r="O93" s="8"/>
      <c r="P93" s="8"/>
      <c r="Q93" s="78"/>
      <c r="R93" s="78"/>
      <c r="S93" s="8"/>
      <c r="T93" s="8"/>
      <c r="U93" s="8"/>
      <c r="V93" s="8"/>
      <c r="W93" s="78"/>
      <c r="X93" s="78"/>
      <c r="Y93" s="8"/>
      <c r="Z93" s="8"/>
      <c r="AA93" s="8"/>
      <c r="AB93" s="8"/>
      <c r="AC93" s="78"/>
      <c r="AD93" s="78"/>
      <c r="AE93" s="8"/>
      <c r="AF93" s="8"/>
      <c r="AG93" s="8"/>
      <c r="AH93" s="8"/>
      <c r="AI93" s="78"/>
      <c r="AJ93" s="78"/>
      <c r="AK93" s="8"/>
      <c r="AL93" s="8"/>
      <c r="AM93" s="8"/>
      <c r="AN93" s="8"/>
      <c r="AO93" s="78"/>
      <c r="AP93" s="78"/>
      <c r="AQ93" s="8"/>
      <c r="AR93" s="8"/>
      <c r="AS93" s="8"/>
      <c r="AT93" s="8"/>
      <c r="AU93" s="78"/>
      <c r="AV93" s="78"/>
      <c r="AW93" s="8"/>
      <c r="AX93" s="8"/>
      <c r="AY93" s="8"/>
      <c r="AZ93" s="8"/>
      <c r="BA93" s="78"/>
      <c r="BB93" s="78"/>
      <c r="BC93" s="8"/>
      <c r="BD93" s="8"/>
      <c r="BE93" s="8"/>
      <c r="BF93" s="8"/>
      <c r="BG93" s="78"/>
      <c r="BH93" s="78"/>
      <c r="BI93" s="8"/>
      <c r="BJ93" s="8"/>
      <c r="BK93" s="8"/>
      <c r="BL93" s="8"/>
      <c r="BM93" s="78"/>
      <c r="BN93" s="78"/>
      <c r="BO93" s="8"/>
      <c r="BP93" s="8"/>
      <c r="BQ93" s="8"/>
      <c r="BR93" s="8"/>
      <c r="BS93" s="78"/>
      <c r="BT93" s="78"/>
      <c r="BU93" s="8"/>
      <c r="BV93" s="8"/>
      <c r="BW93" s="8"/>
      <c r="BX93" s="8"/>
      <c r="BY93" s="78"/>
      <c r="BZ93" s="78"/>
      <c r="CA93" s="8"/>
    </row>
    <row r="94" spans="1:79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78"/>
      <c r="R94" s="78"/>
      <c r="S94" s="8"/>
      <c r="T94" s="8"/>
      <c r="U94" s="8"/>
      <c r="V94" s="8"/>
      <c r="W94" s="78"/>
      <c r="X94" s="78"/>
      <c r="Y94" s="8"/>
      <c r="Z94" s="8"/>
      <c r="AA94" s="8"/>
      <c r="AB94" s="8"/>
      <c r="AC94" s="78"/>
      <c r="AD94" s="78"/>
      <c r="AE94" s="8"/>
      <c r="AF94" s="8"/>
      <c r="AG94" s="8"/>
      <c r="AH94" s="8"/>
      <c r="AI94" s="78"/>
      <c r="AJ94" s="78"/>
      <c r="AK94" s="8"/>
      <c r="AL94" s="8"/>
      <c r="AM94" s="8"/>
      <c r="AN94" s="8"/>
      <c r="AO94" s="78"/>
      <c r="AP94" s="78"/>
      <c r="AQ94" s="8"/>
      <c r="AR94" s="8"/>
      <c r="AS94" s="8"/>
      <c r="AT94" s="8"/>
      <c r="AU94" s="78"/>
      <c r="AV94" s="78"/>
      <c r="AW94" s="8"/>
      <c r="AX94" s="8"/>
      <c r="AY94" s="8"/>
      <c r="AZ94" s="8"/>
      <c r="BA94" s="78"/>
      <c r="BB94" s="78"/>
      <c r="BC94" s="8"/>
      <c r="BD94" s="8"/>
      <c r="BE94" s="8"/>
      <c r="BF94" s="8"/>
      <c r="BG94" s="92"/>
      <c r="BH94" s="78"/>
      <c r="BI94" s="8"/>
      <c r="BJ94" s="8"/>
      <c r="BK94" s="8"/>
      <c r="BL94" s="8"/>
      <c r="BM94" s="92"/>
      <c r="BN94" s="78"/>
      <c r="BO94" s="8"/>
      <c r="BP94" s="8"/>
      <c r="BQ94" s="8"/>
      <c r="BR94" s="8"/>
      <c r="BS94" s="92"/>
      <c r="BT94" s="78"/>
      <c r="BU94" s="8"/>
      <c r="BV94" s="8"/>
      <c r="BW94" s="8"/>
      <c r="BX94" s="8"/>
      <c r="BY94" s="92"/>
      <c r="BZ94" s="78"/>
      <c r="CA94" s="8"/>
    </row>
    <row r="95" spans="1:79">
      <c r="Q95" s="79"/>
      <c r="R95" s="79"/>
      <c r="W95" s="79"/>
      <c r="X95" s="79"/>
      <c r="AC95" s="79"/>
      <c r="AD95" s="79"/>
      <c r="AI95" s="79"/>
      <c r="AJ95" s="79"/>
      <c r="AO95" s="79"/>
      <c r="AP95" s="79"/>
      <c r="AU95" s="79"/>
      <c r="AV95" s="79"/>
      <c r="BA95" s="79"/>
      <c r="BB95" s="79"/>
      <c r="BG95" s="79"/>
      <c r="BH95" s="79"/>
      <c r="BM95" s="79"/>
      <c r="BN95" s="79"/>
      <c r="BS95" s="79"/>
      <c r="BT95" s="79"/>
      <c r="BY95" s="79"/>
      <c r="BZ95" s="79"/>
    </row>
  </sheetData>
  <mergeCells count="80">
    <mergeCell ref="BV4:BX4"/>
    <mergeCell ref="BY4:CA4"/>
    <mergeCell ref="BP4:BR4"/>
    <mergeCell ref="BS4:BU4"/>
    <mergeCell ref="BJ4:BL4"/>
    <mergeCell ref="BM4:BO4"/>
    <mergeCell ref="A12:A14"/>
    <mergeCell ref="B12:B14"/>
    <mergeCell ref="A6:A8"/>
    <mergeCell ref="B6:B8"/>
    <mergeCell ref="G4:G5"/>
    <mergeCell ref="F4:F5"/>
    <mergeCell ref="A9:A11"/>
    <mergeCell ref="K4:M4"/>
    <mergeCell ref="BG4:BI4"/>
    <mergeCell ref="Q4:S4"/>
    <mergeCell ref="AI4:AK4"/>
    <mergeCell ref="W4:Y4"/>
    <mergeCell ref="BD4:BF4"/>
    <mergeCell ref="T4:V4"/>
    <mergeCell ref="Z4:AB4"/>
    <mergeCell ref="AC4:AE4"/>
    <mergeCell ref="N4:P4"/>
    <mergeCell ref="B45:B47"/>
    <mergeCell ref="A39:A41"/>
    <mergeCell ref="B39:B41"/>
    <mergeCell ref="A42:A44"/>
    <mergeCell ref="B42:B44"/>
    <mergeCell ref="A36:A38"/>
    <mergeCell ref="B36:B38"/>
    <mergeCell ref="AX4:AZ4"/>
    <mergeCell ref="BA4:BC4"/>
    <mergeCell ref="A15:A17"/>
    <mergeCell ref="B15:B17"/>
    <mergeCell ref="H4:H5"/>
    <mergeCell ref="I4:I5"/>
    <mergeCell ref="J4:J5"/>
    <mergeCell ref="AR4:AT4"/>
    <mergeCell ref="AU4:AW4"/>
    <mergeCell ref="AL4:AN4"/>
    <mergeCell ref="A18:A20"/>
    <mergeCell ref="B18:B20"/>
    <mergeCell ref="AF4:AH4"/>
    <mergeCell ref="AO4:AQ4"/>
    <mergeCell ref="B48:B50"/>
    <mergeCell ref="A51:A53"/>
    <mergeCell ref="B51:B53"/>
    <mergeCell ref="A48:A50"/>
    <mergeCell ref="B9:B11"/>
    <mergeCell ref="A21:A23"/>
    <mergeCell ref="B21:B23"/>
    <mergeCell ref="A33:A35"/>
    <mergeCell ref="B33:B35"/>
    <mergeCell ref="A24:A26"/>
    <mergeCell ref="B24:B26"/>
    <mergeCell ref="A27:A29"/>
    <mergeCell ref="B27:B29"/>
    <mergeCell ref="A30:A32"/>
    <mergeCell ref="B30:B32"/>
    <mergeCell ref="A45:A47"/>
    <mergeCell ref="A75:B77"/>
    <mergeCell ref="B69:B71"/>
    <mergeCell ref="A54:A56"/>
    <mergeCell ref="B54:B56"/>
    <mergeCell ref="A57:A59"/>
    <mergeCell ref="B57:B59"/>
    <mergeCell ref="B72:B74"/>
    <mergeCell ref="A63:A65"/>
    <mergeCell ref="B63:B65"/>
    <mergeCell ref="A66:A68"/>
    <mergeCell ref="A72:A74"/>
    <mergeCell ref="B66:B68"/>
    <mergeCell ref="A69:A71"/>
    <mergeCell ref="A60:A62"/>
    <mergeCell ref="B60:B62"/>
    <mergeCell ref="A1:C2"/>
    <mergeCell ref="B3:C3"/>
    <mergeCell ref="A4:C5"/>
    <mergeCell ref="D4:D5"/>
    <mergeCell ref="E4:E5"/>
  </mergeCells>
  <phoneticPr fontId="1" type="noConversion"/>
  <printOptions horizontalCentered="1"/>
  <pageMargins left="0.11811023622047245" right="0.11811023622047245" top="0.59055118110236227" bottom="0.47244094488188981" header="0.31496062992125984" footer="0.31496062992125984"/>
  <pageSetup paperSize="9" scale="75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26류수출</vt:lpstr>
      <vt:lpstr>26류수입</vt:lpstr>
      <vt:lpstr>28류수출(희토류)</vt:lpstr>
      <vt:lpstr>28류수입(희토류)</vt:lpstr>
      <vt:lpstr>81류 수출</vt:lpstr>
      <vt:lpstr>81류 수입</vt:lpstr>
      <vt:lpstr>'28류수입(희토류)'!Print_Titles</vt:lpstr>
      <vt:lpstr>'28류수출(희토류)'!Print_Titles</vt:lpstr>
      <vt:lpstr>'81류 수입'!Print_Titles</vt:lpstr>
      <vt:lpstr>'81류 수출'!Print_Titles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KONMA4</dc:creator>
  <cp:lastModifiedBy>김은희</cp:lastModifiedBy>
  <cp:lastPrinted>2016-09-26T05:26:32Z</cp:lastPrinted>
  <dcterms:created xsi:type="dcterms:W3CDTF">2011-07-20T02:02:06Z</dcterms:created>
  <dcterms:modified xsi:type="dcterms:W3CDTF">2017-01-19T02:40:19Z</dcterms:modified>
</cp:coreProperties>
</file>